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0B63F0E6-734B-4537-A945-345E4DFE7ED3}" xr6:coauthVersionLast="47" xr6:coauthVersionMax="47" xr10:uidLastSave="{00000000-0000-0000-0000-000000000000}"/>
  <workbookProtection workbookAlgorithmName="SHA-512" workbookHashValue="4spGY6CgsHr8QfN5O/x+aHGx9p5jmuMn2CJVdFWeQjXGf6u+qbPDLGGB5i/ZBzzt84oaxXa5qvcmw4TGVoCFkQ==" workbookSaltValue="7QBdjXZPMpJEDS3ULE56bg==" workbookSpinCount="100000" lockStructure="1"/>
  <bookViews>
    <workbookView xWindow="-120" yWindow="-120" windowWidth="29040" windowHeight="15840" xr2:uid="{5F939F0E-B7C8-4EE0-A5CF-22394BFDF32C}"/>
  </bookViews>
  <sheets>
    <sheet name="ZU 2024 po 1.ZR a RORM 1-41" sheetId="1" r:id="rId1"/>
  </sheets>
  <definedNames>
    <definedName name="__DdeLink__9289_5144441" localSheetId="0">'ZU 2024 po 1.ZR a RORM 1-41'!#REF!</definedName>
    <definedName name="_xlnm.Print_Titles" localSheetId="0">'ZU 2024 po 1.ZR a RORM 1-41'!$1:$2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H59" i="1"/>
  <c r="H58" i="1"/>
  <c r="G59" i="1"/>
  <c r="G143" i="1"/>
  <c r="G300" i="1"/>
  <c r="G255" i="1"/>
  <c r="G247" i="1" s="1"/>
  <c r="G235" i="1"/>
  <c r="G232" i="1" s="1"/>
  <c r="G230" i="1"/>
  <c r="G205" i="1"/>
  <c r="G203" i="1" s="1"/>
  <c r="G58" i="1"/>
  <c r="G50" i="1"/>
  <c r="G49" i="1"/>
  <c r="G36" i="1"/>
  <c r="G34" i="1" s="1"/>
  <c r="G29" i="1"/>
  <c r="G24" i="1" s="1"/>
  <c r="G33" i="1"/>
  <c r="G20" i="1"/>
  <c r="G6" i="1"/>
  <c r="G8" i="1"/>
  <c r="G7" i="1"/>
  <c r="G5" i="1"/>
  <c r="C20" i="1"/>
  <c r="G335" i="1"/>
  <c r="G320" i="1"/>
  <c r="G317" i="1"/>
  <c r="G314" i="1"/>
  <c r="G305" i="1"/>
  <c r="G298" i="1"/>
  <c r="G294" i="1"/>
  <c r="G286" i="1"/>
  <c r="G282" i="1"/>
  <c r="G265" i="1"/>
  <c r="G261" i="1"/>
  <c r="G257" i="1"/>
  <c r="G242" i="1"/>
  <c r="G239" i="1"/>
  <c r="G228" i="1"/>
  <c r="G224" i="1"/>
  <c r="G206" i="1"/>
  <c r="G167" i="1"/>
  <c r="G158" i="1"/>
  <c r="G144" i="1"/>
  <c r="G51" i="1"/>
  <c r="G39" i="1"/>
  <c r="H240" i="1"/>
  <c r="G56" i="1" l="1"/>
  <c r="H29" i="1"/>
  <c r="G47" i="1"/>
  <c r="G236" i="1" s="1"/>
  <c r="G9" i="1"/>
  <c r="G324" i="1"/>
  <c r="D300" i="1"/>
  <c r="D288" i="1"/>
  <c r="D259" i="1"/>
  <c r="D251" i="1"/>
  <c r="D226" i="1"/>
  <c r="D205" i="1"/>
  <c r="D179" i="1"/>
  <c r="F179" i="1" s="1"/>
  <c r="H179" i="1" s="1"/>
  <c r="D202" i="1"/>
  <c r="D146" i="1"/>
  <c r="D143" i="1"/>
  <c r="D101" i="1"/>
  <c r="D100" i="1"/>
  <c r="D85" i="1"/>
  <c r="F85" i="1" s="1"/>
  <c r="H85" i="1" s="1"/>
  <c r="D84" i="1"/>
  <c r="F84" i="1" s="1"/>
  <c r="H84" i="1" s="1"/>
  <c r="D73" i="1"/>
  <c r="F73" i="1" s="1"/>
  <c r="H73" i="1" s="1"/>
  <c r="D72" i="1"/>
  <c r="F72" i="1" s="1"/>
  <c r="H72" i="1" s="1"/>
  <c r="D66" i="1"/>
  <c r="F66" i="1" s="1"/>
  <c r="H66" i="1" s="1"/>
  <c r="D65" i="1"/>
  <c r="F65" i="1" s="1"/>
  <c r="H65" i="1" s="1"/>
  <c r="D81" i="1"/>
  <c r="F81" i="1" s="1"/>
  <c r="H81" i="1" s="1"/>
  <c r="D80" i="1"/>
  <c r="F80" i="1" s="1"/>
  <c r="H80" i="1" s="1"/>
  <c r="D69" i="1"/>
  <c r="F69" i="1" s="1"/>
  <c r="H69" i="1" s="1"/>
  <c r="D68" i="1"/>
  <c r="F68" i="1" s="1"/>
  <c r="H68" i="1" s="1"/>
  <c r="D76" i="1"/>
  <c r="F76" i="1" s="1"/>
  <c r="H76" i="1" s="1"/>
  <c r="D75" i="1"/>
  <c r="F75" i="1" s="1"/>
  <c r="H75" i="1" s="1"/>
  <c r="D49" i="1"/>
  <c r="D50" i="1"/>
  <c r="D30" i="1"/>
  <c r="F30" i="1" s="1"/>
  <c r="H30" i="1" s="1"/>
  <c r="C24" i="1"/>
  <c r="E24" i="1"/>
  <c r="D26" i="1"/>
  <c r="D27" i="1"/>
  <c r="F27" i="1" s="1"/>
  <c r="H27" i="1" s="1"/>
  <c r="F5" i="1"/>
  <c r="H5" i="1" l="1"/>
  <c r="G325" i="1"/>
  <c r="F26" i="1"/>
  <c r="F18" i="1"/>
  <c r="H18" i="1" s="1"/>
  <c r="D33" i="1"/>
  <c r="F33" i="1" s="1"/>
  <c r="H33" i="1" s="1"/>
  <c r="D8" i="1"/>
  <c r="F8" i="1" s="1"/>
  <c r="H8" i="1" s="1"/>
  <c r="D6" i="1"/>
  <c r="F6" i="1" s="1"/>
  <c r="H6" i="1" s="1"/>
  <c r="F303" i="1"/>
  <c r="H303" i="1" s="1"/>
  <c r="F268" i="1"/>
  <c r="H268" i="1" s="1"/>
  <c r="F269" i="1"/>
  <c r="H269" i="1" s="1"/>
  <c r="F270" i="1"/>
  <c r="H270" i="1" s="1"/>
  <c r="F271" i="1"/>
  <c r="H271" i="1" s="1"/>
  <c r="F272" i="1"/>
  <c r="H272" i="1" s="1"/>
  <c r="F273" i="1"/>
  <c r="H273" i="1" s="1"/>
  <c r="F274" i="1"/>
  <c r="H274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149" i="1"/>
  <c r="H149" i="1" s="1"/>
  <c r="F150" i="1"/>
  <c r="H150" i="1" s="1"/>
  <c r="F107" i="1"/>
  <c r="H107" i="1" s="1"/>
  <c r="F88" i="1"/>
  <c r="H88" i="1" s="1"/>
  <c r="F86" i="1"/>
  <c r="H86" i="1" s="1"/>
  <c r="E51" i="1"/>
  <c r="E47" i="1"/>
  <c r="E39" i="1"/>
  <c r="E34" i="1"/>
  <c r="F32" i="1"/>
  <c r="H32" i="1" s="1"/>
  <c r="E340" i="1"/>
  <c r="E335" i="1"/>
  <c r="E320" i="1"/>
  <c r="E317" i="1"/>
  <c r="E314" i="1"/>
  <c r="E305" i="1"/>
  <c r="E298" i="1"/>
  <c r="E294" i="1"/>
  <c r="E286" i="1"/>
  <c r="E282" i="1"/>
  <c r="E265" i="1"/>
  <c r="E261" i="1"/>
  <c r="E257" i="1"/>
  <c r="E247" i="1"/>
  <c r="E242" i="1"/>
  <c r="E239" i="1"/>
  <c r="E232" i="1"/>
  <c r="E228" i="1"/>
  <c r="E224" i="1"/>
  <c r="E206" i="1"/>
  <c r="E203" i="1"/>
  <c r="E167" i="1"/>
  <c r="E144" i="1"/>
  <c r="E158" i="1"/>
  <c r="E56" i="1"/>
  <c r="E20" i="1"/>
  <c r="E9" i="1"/>
  <c r="F339" i="1"/>
  <c r="H339" i="1" s="1"/>
  <c r="F329" i="1"/>
  <c r="H329" i="1" s="1"/>
  <c r="F330" i="1"/>
  <c r="H330" i="1" s="1"/>
  <c r="F331" i="1"/>
  <c r="H331" i="1" s="1"/>
  <c r="F332" i="1"/>
  <c r="H332" i="1" s="1"/>
  <c r="F333" i="1"/>
  <c r="H333" i="1" s="1"/>
  <c r="F334" i="1"/>
  <c r="H334" i="1" s="1"/>
  <c r="F328" i="1"/>
  <c r="F323" i="1"/>
  <c r="H323" i="1" s="1"/>
  <c r="F322" i="1"/>
  <c r="F316" i="1"/>
  <c r="F309" i="1"/>
  <c r="H309" i="1" s="1"/>
  <c r="F310" i="1"/>
  <c r="H310" i="1" s="1"/>
  <c r="F311" i="1"/>
  <c r="H311" i="1" s="1"/>
  <c r="F312" i="1"/>
  <c r="H312" i="1" s="1"/>
  <c r="F313" i="1"/>
  <c r="H313" i="1" s="1"/>
  <c r="F307" i="1"/>
  <c r="F301" i="1"/>
  <c r="H301" i="1" s="1"/>
  <c r="F302" i="1"/>
  <c r="H302" i="1" s="1"/>
  <c r="F304" i="1"/>
  <c r="H304" i="1" s="1"/>
  <c r="F297" i="1"/>
  <c r="H297" i="1" s="1"/>
  <c r="F296" i="1"/>
  <c r="F289" i="1"/>
  <c r="H289" i="1" s="1"/>
  <c r="F290" i="1"/>
  <c r="H290" i="1" s="1"/>
  <c r="F291" i="1"/>
  <c r="H291" i="1" s="1"/>
  <c r="F292" i="1"/>
  <c r="H292" i="1" s="1"/>
  <c r="F293" i="1"/>
  <c r="H293" i="1" s="1"/>
  <c r="F288" i="1"/>
  <c r="F285" i="1"/>
  <c r="H285" i="1" s="1"/>
  <c r="F284" i="1"/>
  <c r="F281" i="1"/>
  <c r="H281" i="1" s="1"/>
  <c r="F264" i="1"/>
  <c r="H264" i="1" s="1"/>
  <c r="F263" i="1"/>
  <c r="F260" i="1"/>
  <c r="H260" i="1" s="1"/>
  <c r="F254" i="1"/>
  <c r="H254" i="1" s="1"/>
  <c r="F255" i="1"/>
  <c r="H255" i="1" s="1"/>
  <c r="F256" i="1"/>
  <c r="H256" i="1" s="1"/>
  <c r="F251" i="1"/>
  <c r="H251" i="1" s="1"/>
  <c r="F252" i="1"/>
  <c r="H252" i="1" s="1"/>
  <c r="F253" i="1"/>
  <c r="H253" i="1" s="1"/>
  <c r="F249" i="1"/>
  <c r="F245" i="1"/>
  <c r="H245" i="1" s="1"/>
  <c r="F246" i="1"/>
  <c r="H246" i="1" s="1"/>
  <c r="F241" i="1"/>
  <c r="F235" i="1"/>
  <c r="H235" i="1" s="1"/>
  <c r="F234" i="1"/>
  <c r="F230" i="1"/>
  <c r="F227" i="1"/>
  <c r="H227" i="1" s="1"/>
  <c r="F226" i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09" i="1"/>
  <c r="H209" i="1" s="1"/>
  <c r="F210" i="1"/>
  <c r="H210" i="1" s="1"/>
  <c r="F208" i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H196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169" i="1"/>
  <c r="F161" i="1"/>
  <c r="H161" i="1" s="1"/>
  <c r="F162" i="1"/>
  <c r="H162" i="1" s="1"/>
  <c r="F163" i="1"/>
  <c r="H163" i="1" s="1"/>
  <c r="F164" i="1"/>
  <c r="H164" i="1" s="1"/>
  <c r="F165" i="1"/>
  <c r="H165" i="1" s="1"/>
  <c r="F147" i="1"/>
  <c r="H147" i="1" s="1"/>
  <c r="F148" i="1"/>
  <c r="H148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60" i="1"/>
  <c r="H60" i="1" s="1"/>
  <c r="F61" i="1"/>
  <c r="H61" i="1" s="1"/>
  <c r="F62" i="1"/>
  <c r="H62" i="1" s="1"/>
  <c r="F63" i="1"/>
  <c r="H63" i="1" s="1"/>
  <c r="F64" i="1"/>
  <c r="H64" i="1" s="1"/>
  <c r="F67" i="1"/>
  <c r="H67" i="1" s="1"/>
  <c r="F70" i="1"/>
  <c r="H70" i="1" s="1"/>
  <c r="F71" i="1"/>
  <c r="H71" i="1" s="1"/>
  <c r="F74" i="1"/>
  <c r="H74" i="1" s="1"/>
  <c r="F77" i="1"/>
  <c r="H77" i="1" s="1"/>
  <c r="F78" i="1"/>
  <c r="H78" i="1" s="1"/>
  <c r="F79" i="1"/>
  <c r="H79" i="1" s="1"/>
  <c r="F82" i="1"/>
  <c r="H82" i="1" s="1"/>
  <c r="F83" i="1"/>
  <c r="H83" i="1" s="1"/>
  <c r="F87" i="1"/>
  <c r="H87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2" i="1"/>
  <c r="H102" i="1" s="1"/>
  <c r="F103" i="1"/>
  <c r="H103" i="1" s="1"/>
  <c r="F104" i="1"/>
  <c r="H104" i="1" s="1"/>
  <c r="F105" i="1"/>
  <c r="H105" i="1" s="1"/>
  <c r="F106" i="1"/>
  <c r="H106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54" i="1"/>
  <c r="H54" i="1" s="1"/>
  <c r="F55" i="1"/>
  <c r="H55" i="1" s="1"/>
  <c r="F53" i="1"/>
  <c r="F42" i="1"/>
  <c r="H42" i="1" s="1"/>
  <c r="F43" i="1"/>
  <c r="H43" i="1" s="1"/>
  <c r="F44" i="1"/>
  <c r="H44" i="1" s="1"/>
  <c r="F45" i="1"/>
  <c r="H45" i="1" s="1"/>
  <c r="F37" i="1"/>
  <c r="H37" i="1" s="1"/>
  <c r="F36" i="1"/>
  <c r="F13" i="1"/>
  <c r="H13" i="1" s="1"/>
  <c r="F14" i="1"/>
  <c r="H14" i="1" s="1"/>
  <c r="F15" i="1"/>
  <c r="H15" i="1" s="1"/>
  <c r="F16" i="1"/>
  <c r="H16" i="1" s="1"/>
  <c r="F17" i="1"/>
  <c r="H17" i="1" s="1"/>
  <c r="F19" i="1"/>
  <c r="H19" i="1" s="1"/>
  <c r="F7" i="1"/>
  <c r="H7" i="1" s="1"/>
  <c r="F49" i="1"/>
  <c r="D319" i="1"/>
  <c r="D317" i="1" s="1"/>
  <c r="F300" i="1"/>
  <c r="D257" i="1"/>
  <c r="D250" i="1"/>
  <c r="F250" i="1" s="1"/>
  <c r="H250" i="1" s="1"/>
  <c r="D231" i="1"/>
  <c r="F231" i="1" s="1"/>
  <c r="H231" i="1" s="1"/>
  <c r="F205" i="1"/>
  <c r="D160" i="1"/>
  <c r="F160" i="1" s="1"/>
  <c r="D166" i="1"/>
  <c r="F166" i="1" s="1"/>
  <c r="H166" i="1" s="1"/>
  <c r="F50" i="1"/>
  <c r="H50" i="1" s="1"/>
  <c r="D28" i="1"/>
  <c r="F28" i="1" s="1"/>
  <c r="H28" i="1" s="1"/>
  <c r="D267" i="1"/>
  <c r="D265" i="1" s="1"/>
  <c r="F146" i="1"/>
  <c r="D58" i="1"/>
  <c r="F58" i="1" s="1"/>
  <c r="F101" i="1"/>
  <c r="H101" i="1" s="1"/>
  <c r="F100" i="1"/>
  <c r="H100" i="1" s="1"/>
  <c r="D46" i="1"/>
  <c r="F46" i="1" s="1"/>
  <c r="H46" i="1" s="1"/>
  <c r="D41" i="1"/>
  <c r="F41" i="1" s="1"/>
  <c r="D31" i="1"/>
  <c r="F31" i="1" s="1"/>
  <c r="H31" i="1" s="1"/>
  <c r="D12" i="1"/>
  <c r="F12" i="1" s="1"/>
  <c r="D340" i="1"/>
  <c r="C340" i="1"/>
  <c r="D335" i="1"/>
  <c r="C335" i="1"/>
  <c r="D320" i="1"/>
  <c r="C320" i="1"/>
  <c r="C317" i="1"/>
  <c r="D314" i="1"/>
  <c r="C314" i="1"/>
  <c r="D308" i="1"/>
  <c r="D305" i="1" s="1"/>
  <c r="C305" i="1"/>
  <c r="C298" i="1"/>
  <c r="D294" i="1"/>
  <c r="C294" i="1"/>
  <c r="D286" i="1"/>
  <c r="C286" i="1"/>
  <c r="D282" i="1"/>
  <c r="C282" i="1"/>
  <c r="C265" i="1"/>
  <c r="D261" i="1"/>
  <c r="C261" i="1"/>
  <c r="C257" i="1"/>
  <c r="C247" i="1"/>
  <c r="D244" i="1"/>
  <c r="F244" i="1" s="1"/>
  <c r="C242" i="1"/>
  <c r="D239" i="1"/>
  <c r="C239" i="1"/>
  <c r="D232" i="1"/>
  <c r="C232" i="1"/>
  <c r="C228" i="1"/>
  <c r="D224" i="1"/>
  <c r="C224" i="1"/>
  <c r="D223" i="1"/>
  <c r="F223" i="1" s="1"/>
  <c r="H223" i="1" s="1"/>
  <c r="C206" i="1"/>
  <c r="C203" i="1"/>
  <c r="D167" i="1"/>
  <c r="C167" i="1"/>
  <c r="C158" i="1"/>
  <c r="C144" i="1"/>
  <c r="F143" i="1"/>
  <c r="H143" i="1" s="1"/>
  <c r="D120" i="1"/>
  <c r="F120" i="1" s="1"/>
  <c r="H120" i="1" s="1"/>
  <c r="D119" i="1"/>
  <c r="F119" i="1" s="1"/>
  <c r="H119" i="1" s="1"/>
  <c r="D118" i="1"/>
  <c r="F118" i="1" s="1"/>
  <c r="H118" i="1" s="1"/>
  <c r="D117" i="1"/>
  <c r="F117" i="1" s="1"/>
  <c r="H117" i="1" s="1"/>
  <c r="D116" i="1"/>
  <c r="F116" i="1" s="1"/>
  <c r="H116" i="1" s="1"/>
  <c r="D115" i="1"/>
  <c r="F115" i="1" s="1"/>
  <c r="H115" i="1" s="1"/>
  <c r="D114" i="1"/>
  <c r="F114" i="1" s="1"/>
  <c r="H114" i="1" s="1"/>
  <c r="D113" i="1"/>
  <c r="F113" i="1" s="1"/>
  <c r="H113" i="1" s="1"/>
  <c r="D112" i="1"/>
  <c r="F112" i="1" s="1"/>
  <c r="H112" i="1" s="1"/>
  <c r="D111" i="1"/>
  <c r="F111" i="1" s="1"/>
  <c r="H111" i="1" s="1"/>
  <c r="D110" i="1"/>
  <c r="F110" i="1" s="1"/>
  <c r="H110" i="1" s="1"/>
  <c r="D109" i="1"/>
  <c r="F109" i="1" s="1"/>
  <c r="H109" i="1" s="1"/>
  <c r="D108" i="1"/>
  <c r="F108" i="1" s="1"/>
  <c r="H108" i="1" s="1"/>
  <c r="C56" i="1"/>
  <c r="D51" i="1"/>
  <c r="C51" i="1"/>
  <c r="C47" i="1"/>
  <c r="C39" i="1"/>
  <c r="D38" i="1"/>
  <c r="F38" i="1" s="1"/>
  <c r="H38" i="1" s="1"/>
  <c r="C34" i="1"/>
  <c r="C9" i="1"/>
  <c r="H49" i="1" l="1"/>
  <c r="F47" i="1"/>
  <c r="H47" i="1" s="1"/>
  <c r="F51" i="1"/>
  <c r="H51" i="1" s="1"/>
  <c r="H53" i="1"/>
  <c r="H230" i="1"/>
  <c r="F228" i="1"/>
  <c r="H228" i="1" s="1"/>
  <c r="H316" i="1"/>
  <c r="F314" i="1"/>
  <c r="H314" i="1" s="1"/>
  <c r="F39" i="1"/>
  <c r="H39" i="1" s="1"/>
  <c r="H41" i="1"/>
  <c r="H36" i="1"/>
  <c r="F34" i="1"/>
  <c r="H34" i="1" s="1"/>
  <c r="F144" i="1"/>
  <c r="H144" i="1" s="1"/>
  <c r="H146" i="1"/>
  <c r="F167" i="1"/>
  <c r="H167" i="1" s="1"/>
  <c r="H169" i="1"/>
  <c r="F224" i="1"/>
  <c r="H224" i="1" s="1"/>
  <c r="H226" i="1"/>
  <c r="F9" i="1"/>
  <c r="H9" i="1" s="1"/>
  <c r="H234" i="1"/>
  <c r="F232" i="1"/>
  <c r="H232" i="1" s="1"/>
  <c r="F294" i="1"/>
  <c r="H294" i="1" s="1"/>
  <c r="H296" i="1"/>
  <c r="F320" i="1"/>
  <c r="H320" i="1" s="1"/>
  <c r="H322" i="1"/>
  <c r="H249" i="1"/>
  <c r="F247" i="1"/>
  <c r="H247" i="1" s="1"/>
  <c r="F56" i="1"/>
  <c r="H56" i="1" s="1"/>
  <c r="F261" i="1"/>
  <c r="H261" i="1" s="1"/>
  <c r="H263" i="1"/>
  <c r="F242" i="1"/>
  <c r="H242" i="1" s="1"/>
  <c r="H244" i="1"/>
  <c r="F20" i="1"/>
  <c r="H20" i="1" s="1"/>
  <c r="H12" i="1"/>
  <c r="F158" i="1"/>
  <c r="H158" i="1" s="1"/>
  <c r="H160" i="1"/>
  <c r="H241" i="1"/>
  <c r="F239" i="1"/>
  <c r="F335" i="1"/>
  <c r="H335" i="1" s="1"/>
  <c r="H328" i="1"/>
  <c r="F203" i="1"/>
  <c r="H203" i="1" s="1"/>
  <c r="H205" i="1"/>
  <c r="F282" i="1"/>
  <c r="H282" i="1" s="1"/>
  <c r="H284" i="1"/>
  <c r="H307" i="1"/>
  <c r="F24" i="1"/>
  <c r="H26" i="1"/>
  <c r="H208" i="1"/>
  <c r="F206" i="1"/>
  <c r="H206" i="1" s="1"/>
  <c r="H288" i="1"/>
  <c r="F286" i="1"/>
  <c r="H286" i="1" s="1"/>
  <c r="F298" i="1"/>
  <c r="H298" i="1" s="1"/>
  <c r="H300" i="1"/>
  <c r="G336" i="1"/>
  <c r="D24" i="1"/>
  <c r="D203" i="1"/>
  <c r="E324" i="1"/>
  <c r="F259" i="1"/>
  <c r="E236" i="1"/>
  <c r="F308" i="1"/>
  <c r="H308" i="1" s="1"/>
  <c r="F340" i="1"/>
  <c r="H340" i="1" s="1"/>
  <c r="F267" i="1"/>
  <c r="F319" i="1"/>
  <c r="E21" i="1"/>
  <c r="D247" i="1"/>
  <c r="D158" i="1"/>
  <c r="D47" i="1"/>
  <c r="D144" i="1"/>
  <c r="D298" i="1"/>
  <c r="D9" i="1"/>
  <c r="C21" i="1"/>
  <c r="D39" i="1"/>
  <c r="D56" i="1"/>
  <c r="C236" i="1"/>
  <c r="D242" i="1"/>
  <c r="D20" i="1"/>
  <c r="C324" i="1"/>
  <c r="D206" i="1"/>
  <c r="D34" i="1"/>
  <c r="D228" i="1"/>
  <c r="F305" i="1" l="1"/>
  <c r="H305" i="1" s="1"/>
  <c r="F257" i="1"/>
  <c r="H257" i="1" s="1"/>
  <c r="H259" i="1"/>
  <c r="F236" i="1"/>
  <c r="H236" i="1" s="1"/>
  <c r="H24" i="1"/>
  <c r="H319" i="1"/>
  <c r="F317" i="1"/>
  <c r="H317" i="1" s="1"/>
  <c r="H239" i="1"/>
  <c r="F265" i="1"/>
  <c r="H265" i="1" s="1"/>
  <c r="H267" i="1"/>
  <c r="E325" i="1"/>
  <c r="E336" i="1" s="1"/>
  <c r="D324" i="1"/>
  <c r="D21" i="1"/>
  <c r="F21" i="1" s="1"/>
  <c r="C325" i="1"/>
  <c r="D236" i="1"/>
  <c r="F324" i="1" l="1"/>
  <c r="H324" i="1" s="1"/>
  <c r="C336" i="1"/>
  <c r="D325" i="1"/>
  <c r="D336" i="1" s="1"/>
  <c r="F325" i="1" l="1"/>
  <c r="H325" i="1" s="1"/>
  <c r="F336" i="1"/>
  <c r="H336" i="1" s="1"/>
</calcChain>
</file>

<file path=xl/sharedStrings.xml><?xml version="1.0" encoding="utf-8"?>
<sst xmlns="http://schemas.openxmlformats.org/spreadsheetml/2006/main" count="510" uniqueCount="319">
  <si>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</si>
  <si>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</si>
  <si>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</si>
  <si>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</si>
  <si>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</si>
  <si>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</si>
  <si>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</si>
  <si>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</si>
  <si>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</si>
  <si>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</si>
  <si>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</si>
  <si>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</si>
  <si>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</si>
  <si>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</si>
  <si>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</si>
  <si>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</si>
  <si>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</si>
  <si>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</si>
  <si>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</si>
  <si>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</si>
  <si>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</si>
  <si>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</si>
  <si>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</si>
  <si>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</si>
  <si>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</si>
  <si>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</si>
  <si>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</si>
  <si>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</si>
  <si>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</si>
  <si>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</si>
  <si>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</si>
  <si>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</si>
  <si>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</si>
  <si>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</si>
  <si>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</si>
  <si>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</si>
  <si>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</si>
  <si>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</si>
  <si>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</si>
  <si>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</si>
  <si>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</si>
  <si>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</si>
  <si>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</si>
  <si>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</si>
  <si>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</si>
  <si>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</si>
  <si>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</si>
  <si>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</si>
  <si>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</si>
  <si>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</si>
  <si>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</si>
  <si>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</si>
  <si>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</si>
  <si>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</si>
  <si>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</si>
  <si>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</si>
  <si>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</si>
  <si>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</si>
  <si>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</si>
  <si>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</si>
  <si>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</si>
  <si>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</si>
  <si>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</si>
  <si>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</si>
  <si>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</si>
  <si>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</si>
  <si>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</si>
  <si>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</si>
  <si>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</si>
  <si>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</si>
  <si>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</si>
  <si>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</si>
  <si>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</si>
  <si>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</si>
  <si>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</si>
  <si>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</si>
  <si>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</si>
  <si>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</si>
  <si>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</si>
  <si>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</si>
  <si>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</si>
  <si>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</si>
  <si>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</si>
  <si>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</si>
  <si>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</si>
  <si>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</si>
  <si>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</si>
  <si>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</si>
  <si>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</si>
  <si>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</si>
  <si>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</si>
  <si>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</si>
  <si>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</si>
  <si>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</si>
  <si>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</si>
  <si>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</si>
  <si>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</si>
  <si>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</si>
  <si>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</si>
  <si>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</si>
  <si>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</si>
  <si>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</si>
  <si>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</si>
  <si>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</si>
  <si>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</si>
  <si>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</si>
  <si>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</si>
  <si>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</si>
  <si>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</si>
  <si>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</si>
  <si>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</si>
  <si>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</si>
  <si>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</si>
  <si>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</si>
  <si>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</si>
  <si>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</si>
  <si>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</si>
  <si>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</si>
  <si>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</si>
  <si>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</si>
  <si>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</si>
  <si>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</si>
  <si>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</si>
  <si>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</si>
  <si>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</si>
  <si>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</si>
  <si>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</si>
  <si>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</si>
  <si>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</si>
  <si>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</si>
  <si>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</si>
  <si>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</si>
  <si>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</si>
  <si>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</si>
  <si>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</si>
  <si>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</si>
  <si>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</si>
  <si>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</si>
  <si>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</si>
  <si>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</si>
  <si>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</si>
  <si>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</si>
  <si>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</si>
  <si>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</si>
  <si>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</si>
  <si>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</si>
  <si>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</si>
  <si>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</si>
  <si>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</si>
  <si>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</si>
  <si>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</si>
  <si>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</si>
  <si>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</si>
  <si>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</si>
  <si>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</si>
  <si>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</si>
  <si>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</si>
  <si>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</si>
  <si>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</si>
  <si>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</si>
  <si>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</si>
  <si>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</si>
  <si>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</si>
  <si>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</si>
  <si>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</si>
  <si>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</si>
  <si>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</si>
  <si>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</si>
  <si>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</si>
  <si>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</si>
  <si>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</si>
  <si>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</si>
  <si>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</si>
  <si>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</si>
  <si>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</si>
  <si>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</si>
  <si>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</si>
  <si>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</si>
  <si>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</si>
  <si>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</si>
  <si>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</si>
  <si>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</si>
  <si>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</si>
  <si>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</si>
  <si>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</si>
  <si>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</si>
  <si>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</si>
  <si>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</si>
  <si>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</si>
  <si>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</si>
  <si>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</si>
  <si>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</si>
  <si>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</si>
  <si>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</si>
  <si>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</si>
  <si>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</si>
  <si>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</si>
  <si>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</si>
  <si>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</si>
  <si>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</si>
  <si>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</si>
  <si>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</si>
  <si>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</si>
  <si>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</si>
  <si>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</si>
  <si>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</si>
  <si>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</si>
  <si>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</si>
  <si>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</si>
  <si>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</si>
  <si>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</si>
  <si>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</si>
  <si>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</si>
  <si>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</si>
  <si>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</si>
  <si>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</si>
  <si>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</si>
  <si>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</si>
  <si>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</si>
  <si>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</si>
  <si>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</si>
  <si>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</si>
  <si>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</si>
  <si>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</si>
  <si>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</si>
  <si>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</si>
  <si>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</si>
  <si>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</si>
  <si>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</si>
  <si>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</si>
  <si>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</si>
  <si>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</si>
  <si>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</si>
  <si>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</si>
  <si>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</si>
  <si>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</si>
  <si>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</si>
  <si>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</si>
  <si>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</si>
  <si>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</si>
  <si>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</si>
  <si>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</si>
  <si>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</si>
  <si>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</si>
  <si>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</si>
  <si>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</si>
  <si>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</si>
  <si>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</si>
  <si>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</si>
  <si>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</si>
  <si>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</si>
  <si>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</si>
  <si>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</si>
  <si>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</si>
  <si>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</si>
  <si>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</si>
  <si>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</si>
  <si>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</si>
  <si>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</si>
  <si>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</si>
  <si>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</si>
  <si>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</si>
  <si>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</si>
  <si>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</si>
  <si>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</si>
  <si>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</si>
  <si>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</si>
  <si>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</si>
  <si>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</si>
  <si>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</si>
  <si>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</si>
  <si>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</si>
  <si>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</si>
  <si>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</si>
  <si>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</si>
  <si>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</si>
  <si>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</si>
  <si>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</si>
  <si>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</si>
  <si>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</si>
  <si>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</si>
  <si>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</si>
  <si>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</si>
  <si>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</si>
  <si>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</si>
  <si>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</si>
  <si>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</si>
  <si>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</si>
  <si>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</si>
  <si>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</si>
  <si>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</si>
  <si>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</si>
  <si>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</si>
  <si>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</si>
  <si>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</si>
  <si>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 eskydské pediatrické dny 2024</t>
    </r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</si>
  <si>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</si>
  <si>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</si>
  <si>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</si>
  <si>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</si>
  <si>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</si>
  <si>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</si>
  <si>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</si>
  <si>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</si>
  <si>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</si>
  <si>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</si>
  <si>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</si>
  <si>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</si>
  <si>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</si>
  <si>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</si>
  <si>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</si>
  <si>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</si>
  <si>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</si>
  <si>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</si>
  <si>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Rozpočtová opatření RM                                  č. 35 - 41                                           (v tis. Kč)</t>
  </si>
  <si>
    <t>Rozpočet roku 2024 po 1. změně a po rozpočtových opatřeních RM                  č. 1 - 41                                        (v tis. Kč)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</si>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</sst>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4" fontId="4" fillId="0" borderId="10" xfId="0" applyNumberFormat="1" applyFont="1" applyBorder="1"/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3" fillId="8" borderId="19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right" vertical="center"/>
    </xf>
    <xf numFmtId="4" fontId="4" fillId="0" borderId="17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8" borderId="2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vertical="center"/>
    </xf>
    <xf numFmtId="0" fontId="7" fillId="8" borderId="23" xfId="0" applyFont="1" applyFill="1" applyBorder="1" applyAlignment="1">
      <alignment horizontal="center" vertical="center"/>
    </xf>
    <xf numFmtId="4" fontId="3" fillId="8" borderId="23" xfId="0" applyNumberFormat="1" applyFont="1" applyFill="1" applyBorder="1" applyAlignment="1">
      <alignment vertical="center"/>
    </xf>
    <xf numFmtId="4" fontId="3" fillId="8" borderId="26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/>
    </xf>
    <xf numFmtId="4" fontId="4" fillId="0" borderId="33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vertical="center"/>
    </xf>
    <xf numFmtId="0" fontId="7" fillId="8" borderId="30" xfId="0" applyFont="1" applyFill="1" applyBorder="1" applyAlignment="1">
      <alignment vertical="center"/>
    </xf>
    <xf numFmtId="0" fontId="7" fillId="8" borderId="31" xfId="0" applyFont="1" applyFill="1" applyBorder="1" applyAlignment="1">
      <alignment horizontal="center" vertical="center"/>
    </xf>
    <xf numFmtId="4" fontId="3" fillId="8" borderId="31" xfId="0" applyNumberFormat="1" applyFont="1" applyFill="1" applyBorder="1" applyAlignment="1">
      <alignment vertical="center"/>
    </xf>
    <xf numFmtId="4" fontId="3" fillId="8" borderId="32" xfId="0" applyNumberFormat="1" applyFont="1" applyFill="1" applyBorder="1" applyAlignment="1">
      <alignment vertical="center"/>
    </xf>
    <xf numFmtId="0" fontId="6" fillId="3" borderId="1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vertical="center"/>
    </xf>
    <xf numFmtId="0" fontId="1" fillId="2" borderId="3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0" fillId="0" borderId="35" xfId="0" applyBorder="1"/>
    <xf numFmtId="0" fontId="0" fillId="4" borderId="34" xfId="0" applyFill="1" applyBorder="1"/>
    <xf numFmtId="4" fontId="4" fillId="0" borderId="36" xfId="0" applyNumberFormat="1" applyFont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5" fillId="4" borderId="34" xfId="0" applyNumberFormat="1" applyFont="1" applyFill="1" applyBorder="1"/>
    <xf numFmtId="4" fontId="0" fillId="0" borderId="35" xfId="0" applyNumberFormat="1" applyBorder="1"/>
    <xf numFmtId="4" fontId="0" fillId="5" borderId="34" xfId="0" applyNumberFormat="1" applyFill="1" applyBorder="1"/>
    <xf numFmtId="4" fontId="3" fillId="5" borderId="34" xfId="0" applyNumberFormat="1" applyFont="1" applyFill="1" applyBorder="1"/>
    <xf numFmtId="4" fontId="5" fillId="6" borderId="34" xfId="0" applyNumberFormat="1" applyFont="1" applyFill="1" applyBorder="1"/>
    <xf numFmtId="4" fontId="4" fillId="0" borderId="35" xfId="0" applyNumberFormat="1" applyFont="1" applyBorder="1"/>
    <xf numFmtId="4" fontId="4" fillId="7" borderId="34" xfId="0" applyNumberFormat="1" applyFont="1" applyFill="1" applyBorder="1"/>
    <xf numFmtId="4" fontId="3" fillId="8" borderId="34" xfId="0" applyNumberFormat="1" applyFont="1" applyFill="1" applyBorder="1"/>
    <xf numFmtId="4" fontId="3" fillId="8" borderId="39" xfId="0" applyNumberFormat="1" applyFont="1" applyFill="1" applyBorder="1"/>
    <xf numFmtId="4" fontId="3" fillId="7" borderId="34" xfId="0" applyNumberFormat="1" applyFont="1" applyFill="1" applyBorder="1"/>
    <xf numFmtId="4" fontId="3" fillId="8" borderId="40" xfId="0" applyNumberFormat="1" applyFont="1" applyFill="1" applyBorder="1"/>
    <xf numFmtId="4" fontId="4" fillId="5" borderId="34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9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4" fontId="3" fillId="5" borderId="34" xfId="0" applyNumberFormat="1" applyFont="1" applyFill="1" applyBorder="1" applyAlignment="1">
      <alignment vertical="center"/>
    </xf>
    <xf numFmtId="0" fontId="7" fillId="8" borderId="2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43"/>
  <sheetViews>
    <sheetView tabSelected="1" view="pageLayout" zoomScale="110" zoomScaleNormal="100" zoomScalePageLayoutView="110" workbookViewId="0">
      <selection activeCell="A294" sqref="A294:H294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3" width="13.42578125" customWidth="1"/>
    <col min="4" max="5" width="13.42578125" hidden="1" customWidth="1"/>
    <col min="6" max="7" width="13.140625" customWidth="1"/>
    <col min="8" max="8" width="13.5703125" customWidth="1"/>
    <col min="12" max="12" width="11" customWidth="1"/>
  </cols>
  <sheetData>
    <row r="1" spans="1:8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95" t="s">
        <v>293</v>
      </c>
      <c r="F1" s="3" t="s">
        <v>294</v>
      </c>
      <c r="G1" s="117" t="s">
        <v>314</v>
      </c>
      <c r="H1" s="137" t="s">
        <v>315</v>
      </c>
    </row>
    <row r="2" spans="1:8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96" t="s">
        <v>7</v>
      </c>
      <c r="F2" s="6" t="s">
        <v>6</v>
      </c>
      <c r="G2" s="122" t="s">
        <v>7</v>
      </c>
      <c r="H2" s="138" t="s">
        <v>270</v>
      </c>
    </row>
    <row r="3" spans="1:8" ht="9.75" customHeight="1" thickBot="1" x14ac:dyDescent="0.3">
      <c r="A3" s="7"/>
      <c r="B3" s="8"/>
      <c r="C3" s="9"/>
      <c r="D3" s="9"/>
      <c r="E3" s="161"/>
      <c r="F3" s="9"/>
      <c r="G3" s="118"/>
      <c r="H3" s="139"/>
    </row>
    <row r="4" spans="1:8" ht="13.5" customHeight="1" thickBot="1" x14ac:dyDescent="0.3">
      <c r="A4" s="10" t="s">
        <v>8</v>
      </c>
      <c r="B4" s="11"/>
      <c r="C4" s="12"/>
      <c r="D4" s="13"/>
      <c r="E4" s="97"/>
      <c r="F4" s="120"/>
      <c r="G4" s="121"/>
      <c r="H4" s="140"/>
    </row>
    <row r="5" spans="1:8" ht="15" customHeight="1" x14ac:dyDescent="0.25">
      <c r="A5" s="14" t="s">
        <v>9</v>
      </c>
      <c r="B5" s="15"/>
      <c r="C5" s="16">
        <v>1236720</v>
      </c>
      <c r="D5" s="16">
        <v>0</v>
      </c>
      <c r="E5" s="98">
        <v>4377.25</v>
      </c>
      <c r="F5" s="16">
        <f>SUM(C5:E5)</f>
        <v>1241097.25</v>
      </c>
      <c r="G5" s="16">
        <f>0</f>
        <v>0</v>
      </c>
      <c r="H5" s="141">
        <f>SUM(F5:G5)</f>
        <v>1241097.25</v>
      </c>
    </row>
    <row r="6" spans="1:8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98">
        <v>5579.59</v>
      </c>
      <c r="F6" s="19">
        <f>SUM(C6:E6)</f>
        <v>190136.02</v>
      </c>
      <c r="G6" s="19">
        <f>583.66</f>
        <v>583.66</v>
      </c>
      <c r="H6" s="142">
        <f t="shared" ref="H6:H71" si="0">SUM(F6:G6)</f>
        <v>190719.68</v>
      </c>
    </row>
    <row r="7" spans="1:8" ht="15" customHeight="1" x14ac:dyDescent="0.25">
      <c r="A7" s="17" t="s">
        <v>11</v>
      </c>
      <c r="B7" s="18"/>
      <c r="C7" s="19">
        <v>1500</v>
      </c>
      <c r="D7" s="19">
        <v>0</v>
      </c>
      <c r="E7" s="99">
        <v>0</v>
      </c>
      <c r="F7" s="19">
        <f t="shared" ref="F7:F8" si="1">SUM(C7:E7)</f>
        <v>1500</v>
      </c>
      <c r="G7" s="19">
        <f>0</f>
        <v>0</v>
      </c>
      <c r="H7" s="142">
        <f t="shared" si="0"/>
        <v>1500</v>
      </c>
    </row>
    <row r="8" spans="1:8" ht="13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100">
        <v>1195.6199999999999</v>
      </c>
      <c r="F8" s="22">
        <f t="shared" si="1"/>
        <v>155354.19999999998</v>
      </c>
      <c r="G8" s="22">
        <f>0</f>
        <v>0</v>
      </c>
      <c r="H8" s="143">
        <f t="shared" si="0"/>
        <v>155354.19999999998</v>
      </c>
    </row>
    <row r="9" spans="1:8" ht="16.5" customHeight="1" thickBot="1" x14ac:dyDescent="0.3">
      <c r="A9" s="23" t="s">
        <v>13</v>
      </c>
      <c r="B9" s="24"/>
      <c r="C9" s="25">
        <f t="shared" ref="C9" si="2">SUM(C5:C8)</f>
        <v>1575176.62</v>
      </c>
      <c r="D9" s="25">
        <f>SUM(D5:D8)</f>
        <v>1758.3899999999999</v>
      </c>
      <c r="E9" s="101">
        <f>SUM(E5:E8)</f>
        <v>11152.46</v>
      </c>
      <c r="F9" s="25">
        <f>SUM(F5:F8)</f>
        <v>1588087.47</v>
      </c>
      <c r="G9" s="25">
        <f>SUM(G5:G8)</f>
        <v>583.66</v>
      </c>
      <c r="H9" s="144">
        <f t="shared" si="0"/>
        <v>1588671.13</v>
      </c>
    </row>
    <row r="10" spans="1:8" ht="15" customHeight="1" thickBot="1" x14ac:dyDescent="0.3">
      <c r="A10" s="26"/>
      <c r="B10" s="27"/>
      <c r="C10" s="28"/>
      <c r="D10" s="28"/>
      <c r="E10" s="102"/>
      <c r="F10" s="28"/>
      <c r="G10" s="28"/>
      <c r="H10" s="145"/>
    </row>
    <row r="11" spans="1:8" ht="15" customHeight="1" thickBot="1" x14ac:dyDescent="0.3">
      <c r="A11" s="29" t="s">
        <v>14</v>
      </c>
      <c r="B11" s="30"/>
      <c r="C11" s="31"/>
      <c r="D11" s="31"/>
      <c r="E11" s="103"/>
      <c r="F11" s="31"/>
      <c r="G11" s="31"/>
      <c r="H11" s="146"/>
    </row>
    <row r="12" spans="1:8" x14ac:dyDescent="0.25">
      <c r="A12" s="14" t="s">
        <v>15</v>
      </c>
      <c r="B12" s="15"/>
      <c r="C12" s="32">
        <v>408497.84</v>
      </c>
      <c r="D12" s="32">
        <f>77.23</f>
        <v>77.23</v>
      </c>
      <c r="E12" s="98">
        <v>75986.880000000005</v>
      </c>
      <c r="F12" s="16">
        <f>SUM(C12:E12)</f>
        <v>484561.95</v>
      </c>
      <c r="G12" s="16">
        <v>0</v>
      </c>
      <c r="H12" s="141">
        <f t="shared" si="0"/>
        <v>484561.95</v>
      </c>
    </row>
    <row r="13" spans="1:8" x14ac:dyDescent="0.25">
      <c r="A13" s="17" t="s">
        <v>16</v>
      </c>
      <c r="B13" s="18"/>
      <c r="C13" s="33">
        <v>139450.20000000001</v>
      </c>
      <c r="D13" s="33">
        <v>0</v>
      </c>
      <c r="E13" s="99">
        <v>185421.03</v>
      </c>
      <c r="F13" s="16">
        <f t="shared" ref="F13:F19" si="3">SUM(C13:E13)</f>
        <v>324871.23</v>
      </c>
      <c r="G13" s="19">
        <v>0</v>
      </c>
      <c r="H13" s="142">
        <f t="shared" si="0"/>
        <v>324871.23</v>
      </c>
    </row>
    <row r="14" spans="1:8" ht="15" customHeight="1" x14ac:dyDescent="0.25">
      <c r="A14" s="17" t="s">
        <v>17</v>
      </c>
      <c r="B14" s="18"/>
      <c r="C14" s="19">
        <v>12655</v>
      </c>
      <c r="D14" s="19">
        <v>0</v>
      </c>
      <c r="E14" s="99">
        <v>0</v>
      </c>
      <c r="F14" s="16">
        <f t="shared" si="3"/>
        <v>12655</v>
      </c>
      <c r="G14" s="19">
        <v>0</v>
      </c>
      <c r="H14" s="142">
        <f t="shared" si="0"/>
        <v>12655</v>
      </c>
    </row>
    <row r="15" spans="1:8" ht="23.25" customHeight="1" x14ac:dyDescent="0.25">
      <c r="A15" s="17" t="s">
        <v>18</v>
      </c>
      <c r="B15" s="18"/>
      <c r="C15" s="34">
        <v>2450</v>
      </c>
      <c r="D15" s="34">
        <v>0</v>
      </c>
      <c r="E15" s="99">
        <v>0</v>
      </c>
      <c r="F15" s="16">
        <f t="shared" si="3"/>
        <v>2450</v>
      </c>
      <c r="G15" s="19">
        <v>0</v>
      </c>
      <c r="H15" s="142">
        <f>SUM(F15:G15)</f>
        <v>2450</v>
      </c>
    </row>
    <row r="16" spans="1:8" ht="15" customHeight="1" x14ac:dyDescent="0.25">
      <c r="A16" s="17" t="s">
        <v>19</v>
      </c>
      <c r="B16" s="18"/>
      <c r="C16" s="34">
        <v>0</v>
      </c>
      <c r="D16" s="34">
        <v>0</v>
      </c>
      <c r="E16" s="99">
        <v>0</v>
      </c>
      <c r="F16" s="16">
        <f t="shared" si="3"/>
        <v>0</v>
      </c>
      <c r="G16" s="19">
        <v>0</v>
      </c>
      <c r="H16" s="142">
        <f t="shared" si="0"/>
        <v>0</v>
      </c>
    </row>
    <row r="17" spans="1:8" ht="17.25" customHeight="1" x14ac:dyDescent="0.25">
      <c r="A17" s="17" t="s">
        <v>20</v>
      </c>
      <c r="B17" s="18"/>
      <c r="C17" s="34">
        <v>3000</v>
      </c>
      <c r="D17" s="34">
        <v>0</v>
      </c>
      <c r="E17" s="99">
        <v>0</v>
      </c>
      <c r="F17" s="16">
        <f t="shared" si="3"/>
        <v>3000</v>
      </c>
      <c r="G17" s="19">
        <v>0</v>
      </c>
      <c r="H17" s="142">
        <f t="shared" si="0"/>
        <v>3000</v>
      </c>
    </row>
    <row r="18" spans="1:8" ht="14.25" customHeight="1" x14ac:dyDescent="0.25">
      <c r="A18" s="35" t="s">
        <v>21</v>
      </c>
      <c r="B18" s="18"/>
      <c r="C18" s="34">
        <v>0</v>
      </c>
      <c r="D18" s="34">
        <v>0</v>
      </c>
      <c r="E18" s="99">
        <v>0</v>
      </c>
      <c r="F18" s="16">
        <f>SUM(C18:E18)</f>
        <v>0</v>
      </c>
      <c r="G18" s="19">
        <v>0</v>
      </c>
      <c r="H18" s="142">
        <f t="shared" si="0"/>
        <v>0</v>
      </c>
    </row>
    <row r="19" spans="1:8" ht="15" customHeight="1" thickBot="1" x14ac:dyDescent="0.3">
      <c r="A19" s="20" t="s">
        <v>22</v>
      </c>
      <c r="B19" s="21"/>
      <c r="C19" s="22">
        <v>0</v>
      </c>
      <c r="D19" s="22">
        <v>0</v>
      </c>
      <c r="E19" s="100">
        <v>0</v>
      </c>
      <c r="F19" s="28">
        <f t="shared" si="3"/>
        <v>0</v>
      </c>
      <c r="G19" s="22">
        <v>0</v>
      </c>
      <c r="H19" s="143">
        <f t="shared" si="0"/>
        <v>0</v>
      </c>
    </row>
    <row r="20" spans="1:8" ht="14.25" customHeight="1" thickBot="1" x14ac:dyDescent="0.3">
      <c r="A20" s="29" t="s">
        <v>23</v>
      </c>
      <c r="B20" s="36"/>
      <c r="C20" s="37">
        <f>SUM(C12:C19)</f>
        <v>566053.04</v>
      </c>
      <c r="D20" s="37">
        <f>SUM(D12:D19)</f>
        <v>77.23</v>
      </c>
      <c r="E20" s="104">
        <f>SUM(E12:E19)</f>
        <v>261407.91</v>
      </c>
      <c r="F20" s="37">
        <f>SUM(F12:F19)</f>
        <v>827538.17999999993</v>
      </c>
      <c r="G20" s="37">
        <f>SUM(G12:G19)</f>
        <v>0</v>
      </c>
      <c r="H20" s="147">
        <f>SUM(F20:G20)</f>
        <v>827538.17999999993</v>
      </c>
    </row>
    <row r="21" spans="1:8" ht="17.25" customHeight="1" thickBot="1" x14ac:dyDescent="0.3">
      <c r="A21" s="38" t="s">
        <v>24</v>
      </c>
      <c r="B21" s="39"/>
      <c r="C21" s="40">
        <f>SUM(C9+C20)</f>
        <v>2141229.66</v>
      </c>
      <c r="D21" s="40">
        <f>SUM(D9+D20)</f>
        <v>1835.62</v>
      </c>
      <c r="E21" s="105">
        <f>E9+E20</f>
        <v>272560.37</v>
      </c>
      <c r="F21" s="40">
        <f>SUM(C21:E21)</f>
        <v>2415625.6500000004</v>
      </c>
      <c r="G21" s="40">
        <f>SUM(G9+G20)</f>
        <v>583.66</v>
      </c>
      <c r="H21" s="148">
        <f>SUM(F21:G21)</f>
        <v>2416209.3100000005</v>
      </c>
    </row>
    <row r="22" spans="1:8" ht="13.5" customHeight="1" thickBot="1" x14ac:dyDescent="0.3">
      <c r="A22" s="26"/>
      <c r="B22" s="27"/>
      <c r="C22" s="28"/>
      <c r="D22" s="28"/>
      <c r="E22" s="102"/>
      <c r="F22" s="28"/>
      <c r="G22" s="28"/>
      <c r="H22" s="149"/>
    </row>
    <row r="23" spans="1:8" ht="14.25" customHeight="1" thickBot="1" x14ac:dyDescent="0.3">
      <c r="A23" s="41" t="s">
        <v>25</v>
      </c>
      <c r="B23" s="42"/>
      <c r="C23" s="43"/>
      <c r="D23" s="43"/>
      <c r="E23" s="106"/>
      <c r="F23" s="43"/>
      <c r="G23" s="43"/>
      <c r="H23" s="150"/>
    </row>
    <row r="24" spans="1:8" ht="16.350000000000001" customHeight="1" thickBot="1" x14ac:dyDescent="0.3">
      <c r="A24" s="44" t="s">
        <v>26</v>
      </c>
      <c r="B24" s="45"/>
      <c r="C24" s="46">
        <f>SUM(C26:C33)</f>
        <v>7639</v>
      </c>
      <c r="D24" s="46">
        <f>SUM(D26:D33)</f>
        <v>10</v>
      </c>
      <c r="E24" s="107">
        <f>SUM(E26:E33)</f>
        <v>0</v>
      </c>
      <c r="F24" s="46">
        <f>SUM(F26:F33)</f>
        <v>7649</v>
      </c>
      <c r="G24" s="46">
        <f>SUM(G26:G33)</f>
        <v>0</v>
      </c>
      <c r="H24" s="151">
        <f t="shared" si="0"/>
        <v>7649</v>
      </c>
    </row>
    <row r="25" spans="1:8" x14ac:dyDescent="0.25">
      <c r="A25" s="47" t="s">
        <v>27</v>
      </c>
      <c r="B25" s="15"/>
      <c r="C25" s="16"/>
      <c r="D25" s="16"/>
      <c r="E25" s="98"/>
      <c r="F25" s="16"/>
      <c r="G25" s="16"/>
      <c r="H25" s="141"/>
    </row>
    <row r="26" spans="1:8" ht="30.75" customHeight="1" x14ac:dyDescent="0.25">
      <c r="A26" s="47" t="s">
        <v>296</v>
      </c>
      <c r="B26" s="15" t="s">
        <v>297</v>
      </c>
      <c r="C26" s="16">
        <v>0</v>
      </c>
      <c r="D26" s="16">
        <f>40</f>
        <v>40</v>
      </c>
      <c r="E26" s="98">
        <v>0</v>
      </c>
      <c r="F26" s="16">
        <f>SUM(C26:E26)</f>
        <v>40</v>
      </c>
      <c r="G26" s="19">
        <v>0</v>
      </c>
      <c r="H26" s="142">
        <f t="shared" si="0"/>
        <v>40</v>
      </c>
    </row>
    <row r="27" spans="1:8" ht="30" x14ac:dyDescent="0.25">
      <c r="A27" s="47" t="s">
        <v>295</v>
      </c>
      <c r="B27" s="15" t="s">
        <v>114</v>
      </c>
      <c r="C27" s="16">
        <v>0</v>
      </c>
      <c r="D27" s="16">
        <f>50</f>
        <v>50</v>
      </c>
      <c r="E27" s="98">
        <v>0</v>
      </c>
      <c r="F27" s="16">
        <f>SUM(C27:E27)</f>
        <v>50</v>
      </c>
      <c r="G27" s="19">
        <v>0</v>
      </c>
      <c r="H27" s="142">
        <f>SUM(F27:G27)</f>
        <v>50</v>
      </c>
    </row>
    <row r="28" spans="1:8" ht="15" customHeight="1" x14ac:dyDescent="0.25">
      <c r="A28" s="53" t="s">
        <v>268</v>
      </c>
      <c r="B28" s="54" t="s">
        <v>269</v>
      </c>
      <c r="C28" s="19">
        <v>0</v>
      </c>
      <c r="D28" s="19">
        <f>28</f>
        <v>28</v>
      </c>
      <c r="E28" s="99">
        <v>0</v>
      </c>
      <c r="F28" s="19">
        <f>SUM(C28:E28)</f>
        <v>28</v>
      </c>
      <c r="G28" s="19">
        <v>0</v>
      </c>
      <c r="H28" s="142">
        <f t="shared" si="0"/>
        <v>28</v>
      </c>
    </row>
    <row r="29" spans="1:8" ht="15" customHeight="1" x14ac:dyDescent="0.25">
      <c r="A29" s="53" t="s">
        <v>316</v>
      </c>
      <c r="B29" s="54" t="s">
        <v>114</v>
      </c>
      <c r="C29" s="19">
        <v>0</v>
      </c>
      <c r="D29" s="19"/>
      <c r="E29" s="99"/>
      <c r="F29" s="19">
        <v>0</v>
      </c>
      <c r="G29" s="19">
        <f>50</f>
        <v>50</v>
      </c>
      <c r="H29" s="142">
        <f>SUM(F29:G29)</f>
        <v>50</v>
      </c>
    </row>
    <row r="30" spans="1:8" ht="28.5" customHeight="1" x14ac:dyDescent="0.25">
      <c r="A30" s="53" t="s">
        <v>298</v>
      </c>
      <c r="B30" s="54" t="s">
        <v>299</v>
      </c>
      <c r="C30" s="19">
        <v>0</v>
      </c>
      <c r="D30" s="19">
        <f>20</f>
        <v>20</v>
      </c>
      <c r="E30" s="99">
        <v>0</v>
      </c>
      <c r="F30" s="19">
        <f>SUM(C30:E30)</f>
        <v>20</v>
      </c>
      <c r="G30" s="19">
        <v>0</v>
      </c>
      <c r="H30" s="142">
        <f t="shared" si="0"/>
        <v>20</v>
      </c>
    </row>
    <row r="31" spans="1:8" ht="42" customHeight="1" x14ac:dyDescent="0.25">
      <c r="A31" s="53" t="s">
        <v>271</v>
      </c>
      <c r="B31" s="54" t="s">
        <v>264</v>
      </c>
      <c r="C31" s="19">
        <v>0</v>
      </c>
      <c r="D31" s="19">
        <f>50</f>
        <v>50</v>
      </c>
      <c r="E31" s="99">
        <v>0</v>
      </c>
      <c r="F31" s="19">
        <f t="shared" ref="F31:F32" si="4">SUM(C31:E31)</f>
        <v>50</v>
      </c>
      <c r="G31" s="19">
        <v>0</v>
      </c>
      <c r="H31" s="142">
        <f t="shared" si="0"/>
        <v>50</v>
      </c>
    </row>
    <row r="32" spans="1:8" ht="16.5" customHeight="1" x14ac:dyDescent="0.25">
      <c r="A32" s="53" t="s">
        <v>272</v>
      </c>
      <c r="B32" s="112" t="s">
        <v>121</v>
      </c>
      <c r="C32" s="19">
        <v>0</v>
      </c>
      <c r="D32" s="19">
        <v>0</v>
      </c>
      <c r="E32" s="19">
        <v>80</v>
      </c>
      <c r="F32" s="22">
        <f t="shared" si="4"/>
        <v>80</v>
      </c>
      <c r="G32" s="19">
        <v>0</v>
      </c>
      <c r="H32" s="142">
        <f t="shared" si="0"/>
        <v>80</v>
      </c>
    </row>
    <row r="33" spans="1:8" ht="15.75" customHeight="1" thickBot="1" x14ac:dyDescent="0.3">
      <c r="A33" s="48" t="s">
        <v>28</v>
      </c>
      <c r="B33" s="49"/>
      <c r="C33" s="22">
        <v>7639</v>
      </c>
      <c r="D33" s="22">
        <f>-50-28-100</f>
        <v>-178</v>
      </c>
      <c r="E33" s="100">
        <v>-80</v>
      </c>
      <c r="F33" s="22">
        <f>SUM(C33:E33)</f>
        <v>7381</v>
      </c>
      <c r="G33" s="22">
        <f>-50</f>
        <v>-50</v>
      </c>
      <c r="H33" s="143">
        <f t="shared" si="0"/>
        <v>7331</v>
      </c>
    </row>
    <row r="34" spans="1:8" ht="15" customHeight="1" thickBot="1" x14ac:dyDescent="0.3">
      <c r="A34" s="50" t="s">
        <v>29</v>
      </c>
      <c r="B34" s="51"/>
      <c r="C34" s="46">
        <f>SUM(C36:C38)</f>
        <v>324123</v>
      </c>
      <c r="D34" s="46">
        <f>SUM(D36:D38)</f>
        <v>-50</v>
      </c>
      <c r="E34" s="107">
        <f>SUM(E36:E38)</f>
        <v>0</v>
      </c>
      <c r="F34" s="46">
        <f>SUM(F36:F38)</f>
        <v>324073</v>
      </c>
      <c r="G34" s="46">
        <f>SUM(G36:G38)</f>
        <v>4.59</v>
      </c>
      <c r="H34" s="151">
        <f t="shared" si="0"/>
        <v>324077.59000000003</v>
      </c>
    </row>
    <row r="35" spans="1:8" ht="14.25" customHeight="1" x14ac:dyDescent="0.25">
      <c r="A35" s="47" t="s">
        <v>27</v>
      </c>
      <c r="B35" s="52"/>
      <c r="C35" s="16"/>
      <c r="D35" s="16"/>
      <c r="E35" s="98"/>
      <c r="F35" s="16"/>
      <c r="G35" s="16"/>
      <c r="H35" s="141"/>
    </row>
    <row r="36" spans="1:8" ht="15" customHeight="1" x14ac:dyDescent="0.25">
      <c r="A36" s="53" t="s">
        <v>30</v>
      </c>
      <c r="B36" s="54"/>
      <c r="C36" s="19">
        <v>700</v>
      </c>
      <c r="D36" s="19">
        <v>0</v>
      </c>
      <c r="E36" s="99">
        <v>0</v>
      </c>
      <c r="F36" s="19">
        <f>SUM(C36:E36)</f>
        <v>700</v>
      </c>
      <c r="G36" s="19">
        <f>4.59</f>
        <v>4.59</v>
      </c>
      <c r="H36" s="142">
        <f t="shared" si="0"/>
        <v>704.59</v>
      </c>
    </row>
    <row r="37" spans="1:8" ht="15" customHeight="1" x14ac:dyDescent="0.25">
      <c r="A37" s="53" t="s">
        <v>31</v>
      </c>
      <c r="B37" s="54"/>
      <c r="C37" s="19">
        <v>12655</v>
      </c>
      <c r="D37" s="19">
        <v>0</v>
      </c>
      <c r="E37" s="99">
        <v>0</v>
      </c>
      <c r="F37" s="19">
        <f t="shared" ref="F37:F38" si="5">SUM(C37:E37)</f>
        <v>12655</v>
      </c>
      <c r="G37" s="19">
        <v>0</v>
      </c>
      <c r="H37" s="142">
        <f t="shared" si="0"/>
        <v>12655</v>
      </c>
    </row>
    <row r="38" spans="1:8" ht="15" customHeight="1" thickBot="1" x14ac:dyDescent="0.3">
      <c r="A38" s="48" t="s">
        <v>32</v>
      </c>
      <c r="B38" s="49"/>
      <c r="C38" s="22">
        <v>310768</v>
      </c>
      <c r="D38" s="22">
        <f>-50</f>
        <v>-50</v>
      </c>
      <c r="E38" s="100">
        <v>0</v>
      </c>
      <c r="F38" s="22">
        <f t="shared" si="5"/>
        <v>310718</v>
      </c>
      <c r="G38" s="22">
        <v>0</v>
      </c>
      <c r="H38" s="143">
        <f t="shared" si="0"/>
        <v>310718</v>
      </c>
    </row>
    <row r="39" spans="1:8" ht="14.25" customHeight="1" thickBot="1" x14ac:dyDescent="0.3">
      <c r="A39" s="44" t="s">
        <v>33</v>
      </c>
      <c r="B39" s="55"/>
      <c r="C39" s="46">
        <f t="shared" ref="C39" si="6">SUM(C41:C46)</f>
        <v>49692.41</v>
      </c>
      <c r="D39" s="46">
        <f>SUM(D41:D46)</f>
        <v>77.22999999999999</v>
      </c>
      <c r="E39" s="107">
        <f>SUM(E41:E46)</f>
        <v>6377.25</v>
      </c>
      <c r="F39" s="46">
        <f>SUM(F41:F46)</f>
        <v>56146.89</v>
      </c>
      <c r="G39" s="46">
        <f>SUM(G41:G46)</f>
        <v>0</v>
      </c>
      <c r="H39" s="151">
        <f t="shared" si="0"/>
        <v>56146.89</v>
      </c>
    </row>
    <row r="40" spans="1:8" ht="12.75" customHeight="1" x14ac:dyDescent="0.25">
      <c r="A40" s="47" t="s">
        <v>27</v>
      </c>
      <c r="B40" s="52"/>
      <c r="C40" s="16"/>
      <c r="D40" s="16"/>
      <c r="E40" s="98"/>
      <c r="F40" s="16"/>
      <c r="G40" s="16"/>
      <c r="H40" s="141"/>
    </row>
    <row r="41" spans="1:8" ht="17.25" customHeight="1" x14ac:dyDescent="0.25">
      <c r="A41" s="35" t="s">
        <v>34</v>
      </c>
      <c r="B41" s="56"/>
      <c r="C41" s="19">
        <v>0</v>
      </c>
      <c r="D41" s="19">
        <f>20</f>
        <v>20</v>
      </c>
      <c r="E41" s="99">
        <v>0</v>
      </c>
      <c r="F41" s="19">
        <f>SUM(C41:E41)</f>
        <v>20</v>
      </c>
      <c r="G41" s="19">
        <v>0</v>
      </c>
      <c r="H41" s="142">
        <f t="shared" si="0"/>
        <v>20</v>
      </c>
    </row>
    <row r="42" spans="1:8" ht="15" customHeight="1" x14ac:dyDescent="0.25">
      <c r="A42" s="53" t="s">
        <v>35</v>
      </c>
      <c r="B42" s="54" t="s">
        <v>36</v>
      </c>
      <c r="C42" s="19">
        <v>20000</v>
      </c>
      <c r="D42" s="19">
        <v>0</v>
      </c>
      <c r="E42" s="99">
        <v>0</v>
      </c>
      <c r="F42" s="19">
        <f t="shared" ref="F42:F46" si="7">SUM(C42:E42)</f>
        <v>20000</v>
      </c>
      <c r="G42" s="19">
        <v>0</v>
      </c>
      <c r="H42" s="142">
        <f t="shared" si="0"/>
        <v>20000</v>
      </c>
    </row>
    <row r="43" spans="1:8" ht="15" customHeight="1" x14ac:dyDescent="0.25">
      <c r="A43" s="53" t="s">
        <v>37</v>
      </c>
      <c r="B43" s="54"/>
      <c r="C43" s="19">
        <v>3215.41</v>
      </c>
      <c r="D43" s="19">
        <v>0</v>
      </c>
      <c r="E43" s="99">
        <v>0</v>
      </c>
      <c r="F43" s="19">
        <f t="shared" si="7"/>
        <v>3215.41</v>
      </c>
      <c r="G43" s="19">
        <v>0</v>
      </c>
      <c r="H43" s="142">
        <f t="shared" si="0"/>
        <v>3215.41</v>
      </c>
    </row>
    <row r="44" spans="1:8" ht="15" customHeight="1" x14ac:dyDescent="0.25">
      <c r="A44" s="53" t="s">
        <v>38</v>
      </c>
      <c r="B44" s="54"/>
      <c r="C44" s="19">
        <v>200</v>
      </c>
      <c r="D44" s="19">
        <v>0</v>
      </c>
      <c r="E44" s="99">
        <v>0</v>
      </c>
      <c r="F44" s="19">
        <f t="shared" si="7"/>
        <v>200</v>
      </c>
      <c r="G44" s="19">
        <v>0</v>
      </c>
      <c r="H44" s="142">
        <f t="shared" si="0"/>
        <v>200</v>
      </c>
    </row>
    <row r="45" spans="1:8" ht="15" customHeight="1" x14ac:dyDescent="0.25">
      <c r="A45" s="53" t="s">
        <v>39</v>
      </c>
      <c r="B45" s="54"/>
      <c r="C45" s="19">
        <v>2000</v>
      </c>
      <c r="D45" s="19">
        <v>0</v>
      </c>
      <c r="E45" s="99">
        <v>0</v>
      </c>
      <c r="F45" s="19">
        <f t="shared" si="7"/>
        <v>2000</v>
      </c>
      <c r="G45" s="19">
        <v>0</v>
      </c>
      <c r="H45" s="142">
        <f t="shared" si="0"/>
        <v>2000</v>
      </c>
    </row>
    <row r="46" spans="1:8" ht="15.75" customHeight="1" thickBot="1" x14ac:dyDescent="0.3">
      <c r="A46" s="48" t="s">
        <v>40</v>
      </c>
      <c r="B46" s="49"/>
      <c r="C46" s="22">
        <v>24277</v>
      </c>
      <c r="D46" s="22">
        <f>57.23</f>
        <v>57.23</v>
      </c>
      <c r="E46" s="100">
        <v>6377.25</v>
      </c>
      <c r="F46" s="22">
        <f t="shared" si="7"/>
        <v>30711.48</v>
      </c>
      <c r="G46" s="22">
        <v>0</v>
      </c>
      <c r="H46" s="143">
        <f t="shared" si="0"/>
        <v>30711.48</v>
      </c>
    </row>
    <row r="47" spans="1:8" ht="14.25" customHeight="1" thickBot="1" x14ac:dyDescent="0.3">
      <c r="A47" s="44" t="s">
        <v>41</v>
      </c>
      <c r="B47" s="51"/>
      <c r="C47" s="46">
        <f>SUM(C49:C50)</f>
        <v>154593.59</v>
      </c>
      <c r="D47" s="46">
        <f>SUM(D49:D50)</f>
        <v>-7815.75</v>
      </c>
      <c r="E47" s="107">
        <f>SUM(E49:E50)</f>
        <v>23563.32</v>
      </c>
      <c r="F47" s="46">
        <f>SUM(F49:F50)</f>
        <v>170341.16</v>
      </c>
      <c r="G47" s="46">
        <f>SUM(G49:G50)</f>
        <v>377.37</v>
      </c>
      <c r="H47" s="151">
        <f>SUM(F47:G47)</f>
        <v>170718.53</v>
      </c>
    </row>
    <row r="48" spans="1:8" ht="12.75" customHeight="1" x14ac:dyDescent="0.25">
      <c r="A48" s="47" t="s">
        <v>27</v>
      </c>
      <c r="B48" s="52"/>
      <c r="C48" s="16"/>
      <c r="D48" s="16"/>
      <c r="E48" s="98"/>
      <c r="F48" s="16"/>
      <c r="G48" s="16"/>
      <c r="H48" s="141"/>
    </row>
    <row r="49" spans="1:8" ht="15" customHeight="1" x14ac:dyDescent="0.25">
      <c r="A49" s="53" t="s">
        <v>30</v>
      </c>
      <c r="B49" s="54"/>
      <c r="C49" s="19">
        <v>61129.09</v>
      </c>
      <c r="D49" s="19">
        <f>-7964.48+419.4-2000+421.2-706.68</f>
        <v>-9830.56</v>
      </c>
      <c r="E49" s="99">
        <v>23206.32</v>
      </c>
      <c r="F49" s="19">
        <f>SUM(C49:E49)</f>
        <v>74504.850000000006</v>
      </c>
      <c r="G49" s="19">
        <f>-611.23</f>
        <v>-611.23</v>
      </c>
      <c r="H49" s="142">
        <f t="shared" si="0"/>
        <v>73893.62000000001</v>
      </c>
    </row>
    <row r="50" spans="1:8" ht="17.25" customHeight="1" thickBot="1" x14ac:dyDescent="0.3">
      <c r="A50" s="48" t="s">
        <v>42</v>
      </c>
      <c r="B50" s="49"/>
      <c r="C50" s="22">
        <v>93464.5</v>
      </c>
      <c r="D50" s="22">
        <f>27.59+1718.22+269</f>
        <v>2014.81</v>
      </c>
      <c r="E50" s="22">
        <v>357</v>
      </c>
      <c r="F50" s="22">
        <f>SUM(C50:E50)</f>
        <v>95836.31</v>
      </c>
      <c r="G50" s="22">
        <f>988.6</f>
        <v>988.6</v>
      </c>
      <c r="H50" s="143">
        <f t="shared" si="0"/>
        <v>96824.91</v>
      </c>
    </row>
    <row r="51" spans="1:8" ht="15.75" customHeight="1" thickBot="1" x14ac:dyDescent="0.3">
      <c r="A51" s="44" t="s">
        <v>43</v>
      </c>
      <c r="B51" s="55"/>
      <c r="C51" s="46">
        <f t="shared" ref="C51" si="8">SUM(C53:C55)</f>
        <v>2282.77</v>
      </c>
      <c r="D51" s="46">
        <f>SUM(D53:D55)</f>
        <v>0</v>
      </c>
      <c r="E51" s="107">
        <f>SUM(E53:E55)</f>
        <v>0</v>
      </c>
      <c r="F51" s="46">
        <f>SUM(F53:F55)</f>
        <v>2282.77</v>
      </c>
      <c r="G51" s="86">
        <f>SUM(G53:G55)</f>
        <v>0</v>
      </c>
      <c r="H51" s="151">
        <f t="shared" si="0"/>
        <v>2282.77</v>
      </c>
    </row>
    <row r="52" spans="1:8" ht="15" customHeight="1" x14ac:dyDescent="0.25">
      <c r="A52" s="57" t="s">
        <v>27</v>
      </c>
      <c r="B52" s="52"/>
      <c r="C52" s="16"/>
      <c r="D52" s="16"/>
      <c r="E52" s="98"/>
      <c r="F52" s="16"/>
      <c r="G52" s="119"/>
      <c r="H52" s="145"/>
    </row>
    <row r="53" spans="1:8" ht="17.25" customHeight="1" x14ac:dyDescent="0.25">
      <c r="A53" s="17" t="s">
        <v>44</v>
      </c>
      <c r="B53" s="58" t="s">
        <v>45</v>
      </c>
      <c r="C53" s="19">
        <v>15</v>
      </c>
      <c r="D53" s="19">
        <v>0</v>
      </c>
      <c r="E53" s="99">
        <v>0</v>
      </c>
      <c r="F53" s="19">
        <f>SUM(C53:E53)</f>
        <v>15</v>
      </c>
      <c r="G53" s="19">
        <v>0</v>
      </c>
      <c r="H53" s="142">
        <f t="shared" si="0"/>
        <v>15</v>
      </c>
    </row>
    <row r="54" spans="1:8" ht="15" customHeight="1" x14ac:dyDescent="0.25">
      <c r="A54" s="59" t="s">
        <v>30</v>
      </c>
      <c r="B54" s="54"/>
      <c r="C54" s="19">
        <v>64.12</v>
      </c>
      <c r="D54" s="19">
        <v>0</v>
      </c>
      <c r="E54" s="99">
        <v>0</v>
      </c>
      <c r="F54" s="19">
        <f t="shared" ref="F54:F55" si="9">SUM(C54:E54)</f>
        <v>64.12</v>
      </c>
      <c r="G54" s="19">
        <v>0</v>
      </c>
      <c r="H54" s="142">
        <f t="shared" si="0"/>
        <v>64.12</v>
      </c>
    </row>
    <row r="55" spans="1:8" ht="15" customHeight="1" thickBot="1" x14ac:dyDescent="0.3">
      <c r="A55" s="60" t="s">
        <v>46</v>
      </c>
      <c r="B55" s="49"/>
      <c r="C55" s="22">
        <v>2203.65</v>
      </c>
      <c r="D55" s="22">
        <v>0</v>
      </c>
      <c r="E55" s="100">
        <v>0</v>
      </c>
      <c r="F55" s="22">
        <f t="shared" si="9"/>
        <v>2203.65</v>
      </c>
      <c r="G55" s="22">
        <v>0</v>
      </c>
      <c r="H55" s="143">
        <f t="shared" si="0"/>
        <v>2203.65</v>
      </c>
    </row>
    <row r="56" spans="1:8" ht="14.25" customHeight="1" thickBot="1" x14ac:dyDescent="0.3">
      <c r="A56" s="61" t="s">
        <v>47</v>
      </c>
      <c r="B56" s="55"/>
      <c r="C56" s="46">
        <f>SUM(C58:C143)</f>
        <v>314663.33999999997</v>
      </c>
      <c r="D56" s="46">
        <f>SUM(D58:D143)</f>
        <v>591.24000000000024</v>
      </c>
      <c r="E56" s="107">
        <f>SUM(E58:E143)</f>
        <v>3748.33</v>
      </c>
      <c r="F56" s="46">
        <f>SUM(F58:F143)</f>
        <v>319002.91000000003</v>
      </c>
      <c r="G56" s="46">
        <f>SUM(G58:G143)</f>
        <v>0</v>
      </c>
      <c r="H56" s="151">
        <f t="shared" si="0"/>
        <v>319002.91000000003</v>
      </c>
    </row>
    <row r="57" spans="1:8" ht="12.75" customHeight="1" x14ac:dyDescent="0.25">
      <c r="A57" s="62" t="s">
        <v>27</v>
      </c>
      <c r="B57" s="52"/>
      <c r="C57" s="16"/>
      <c r="D57" s="16"/>
      <c r="E57" s="98"/>
      <c r="F57" s="16"/>
      <c r="G57" s="16"/>
      <c r="H57" s="141"/>
    </row>
    <row r="58" spans="1:8" ht="15" customHeight="1" x14ac:dyDescent="0.25">
      <c r="A58" s="59" t="s">
        <v>30</v>
      </c>
      <c r="B58" s="58"/>
      <c r="C58" s="19">
        <v>5300</v>
      </c>
      <c r="D58" s="19">
        <f>-140</f>
        <v>-140</v>
      </c>
      <c r="E58" s="99">
        <v>1850</v>
      </c>
      <c r="F58" s="19">
        <f>SUM(C58:E58)</f>
        <v>7010</v>
      </c>
      <c r="G58" s="19">
        <f>100</f>
        <v>100</v>
      </c>
      <c r="H58" s="142">
        <f>SUM(F58:G58)</f>
        <v>7110</v>
      </c>
    </row>
    <row r="59" spans="1:8" ht="25.5" customHeight="1" x14ac:dyDescent="0.25">
      <c r="A59" s="17" t="s">
        <v>317</v>
      </c>
      <c r="B59" s="58" t="s">
        <v>318</v>
      </c>
      <c r="C59" s="19">
        <v>0</v>
      </c>
      <c r="D59" s="19"/>
      <c r="E59" s="99"/>
      <c r="F59" s="19">
        <v>0</v>
      </c>
      <c r="G59" s="19">
        <f>100</f>
        <v>100</v>
      </c>
      <c r="H59" s="142">
        <f>SUM(F59:G59)</f>
        <v>100</v>
      </c>
    </row>
    <row r="60" spans="1:8" ht="17.25" customHeight="1" x14ac:dyDescent="0.25">
      <c r="A60" s="17" t="s">
        <v>48</v>
      </c>
      <c r="B60" s="58" t="s">
        <v>49</v>
      </c>
      <c r="C60" s="19">
        <v>7400</v>
      </c>
      <c r="D60" s="19">
        <v>0</v>
      </c>
      <c r="E60" s="113">
        <v>0</v>
      </c>
      <c r="F60" s="19">
        <f t="shared" ref="F60:F138" si="10">SUM(C60:E60)</f>
        <v>7400</v>
      </c>
      <c r="G60" s="19">
        <v>0</v>
      </c>
      <c r="H60" s="142">
        <f t="shared" si="0"/>
        <v>7400</v>
      </c>
    </row>
    <row r="61" spans="1:8" ht="15" customHeight="1" x14ac:dyDescent="0.25">
      <c r="A61" s="17" t="s">
        <v>50</v>
      </c>
      <c r="B61" s="58" t="s">
        <v>51</v>
      </c>
      <c r="C61" s="19">
        <v>3500</v>
      </c>
      <c r="D61" s="19">
        <v>0</v>
      </c>
      <c r="E61" s="113">
        <v>-320</v>
      </c>
      <c r="F61" s="19">
        <f t="shared" si="10"/>
        <v>3180</v>
      </c>
      <c r="G61" s="19">
        <v>0</v>
      </c>
      <c r="H61" s="142">
        <f t="shared" si="0"/>
        <v>3180</v>
      </c>
    </row>
    <row r="62" spans="1:8" ht="25.5" customHeight="1" x14ac:dyDescent="0.25">
      <c r="A62" s="17" t="s">
        <v>52</v>
      </c>
      <c r="B62" s="58" t="s">
        <v>53</v>
      </c>
      <c r="C62" s="19">
        <v>900</v>
      </c>
      <c r="D62" s="19">
        <v>0</v>
      </c>
      <c r="E62" s="99">
        <v>0</v>
      </c>
      <c r="F62" s="19">
        <f t="shared" si="10"/>
        <v>900</v>
      </c>
      <c r="G62" s="19">
        <v>0</v>
      </c>
      <c r="H62" s="142">
        <f t="shared" si="0"/>
        <v>900</v>
      </c>
    </row>
    <row r="63" spans="1:8" ht="15" customHeight="1" x14ac:dyDescent="0.25">
      <c r="A63" s="59" t="s">
        <v>54</v>
      </c>
      <c r="B63" s="54" t="s">
        <v>55</v>
      </c>
      <c r="C63" s="33">
        <v>42922</v>
      </c>
      <c r="D63" s="33">
        <v>0</v>
      </c>
      <c r="E63" s="99">
        <v>0</v>
      </c>
      <c r="F63" s="19">
        <f t="shared" si="10"/>
        <v>42922</v>
      </c>
      <c r="G63" s="19">
        <v>0</v>
      </c>
      <c r="H63" s="142">
        <f t="shared" si="0"/>
        <v>42922</v>
      </c>
    </row>
    <row r="64" spans="1:8" ht="15" customHeight="1" x14ac:dyDescent="0.25">
      <c r="A64" s="59" t="s">
        <v>56</v>
      </c>
      <c r="B64" s="58" t="s">
        <v>36</v>
      </c>
      <c r="C64" s="33">
        <v>3692</v>
      </c>
      <c r="D64" s="33">
        <v>0</v>
      </c>
      <c r="E64" s="99">
        <v>95</v>
      </c>
      <c r="F64" s="19">
        <f t="shared" si="10"/>
        <v>3787</v>
      </c>
      <c r="G64" s="19">
        <v>0</v>
      </c>
      <c r="H64" s="142">
        <f t="shared" si="0"/>
        <v>3787</v>
      </c>
    </row>
    <row r="65" spans="1:8" ht="15" customHeight="1" x14ac:dyDescent="0.25">
      <c r="A65" s="59" t="s">
        <v>307</v>
      </c>
      <c r="B65" s="58" t="s">
        <v>301</v>
      </c>
      <c r="C65" s="33">
        <v>0</v>
      </c>
      <c r="D65" s="33">
        <f>38.94</f>
        <v>38.94</v>
      </c>
      <c r="E65" s="99">
        <v>0</v>
      </c>
      <c r="F65" s="19">
        <f>SUM(C65:E65)</f>
        <v>38.94</v>
      </c>
      <c r="G65" s="19">
        <v>0</v>
      </c>
      <c r="H65" s="142">
        <f t="shared" si="0"/>
        <v>38.94</v>
      </c>
    </row>
    <row r="66" spans="1:8" ht="15" customHeight="1" x14ac:dyDescent="0.25">
      <c r="A66" s="59" t="s">
        <v>308</v>
      </c>
      <c r="B66" s="58" t="s">
        <v>301</v>
      </c>
      <c r="C66" s="33">
        <v>0</v>
      </c>
      <c r="D66" s="33">
        <f>4.33</f>
        <v>4.33</v>
      </c>
      <c r="E66" s="99">
        <v>0</v>
      </c>
      <c r="F66" s="19">
        <f>SUM(C66:E66)</f>
        <v>4.33</v>
      </c>
      <c r="G66" s="19">
        <v>0</v>
      </c>
      <c r="H66" s="142">
        <f t="shared" si="0"/>
        <v>4.33</v>
      </c>
    </row>
    <row r="67" spans="1:8" ht="15" customHeight="1" x14ac:dyDescent="0.25">
      <c r="A67" s="59" t="s">
        <v>57</v>
      </c>
      <c r="B67" s="58" t="s">
        <v>36</v>
      </c>
      <c r="C67" s="33">
        <v>4544</v>
      </c>
      <c r="D67" s="33">
        <v>0</v>
      </c>
      <c r="E67" s="99">
        <v>110</v>
      </c>
      <c r="F67" s="19">
        <f t="shared" si="10"/>
        <v>4654</v>
      </c>
      <c r="G67" s="19">
        <v>0</v>
      </c>
      <c r="H67" s="142">
        <f t="shared" si="0"/>
        <v>4654</v>
      </c>
    </row>
    <row r="68" spans="1:8" ht="15" customHeight="1" x14ac:dyDescent="0.25">
      <c r="A68" s="59" t="s">
        <v>303</v>
      </c>
      <c r="B68" s="58" t="s">
        <v>301</v>
      </c>
      <c r="C68" s="33">
        <v>0</v>
      </c>
      <c r="D68" s="33">
        <f>63.04</f>
        <v>63.04</v>
      </c>
      <c r="E68" s="99">
        <v>0</v>
      </c>
      <c r="F68" s="19">
        <f>SUM(C68:E68)</f>
        <v>63.04</v>
      </c>
      <c r="G68" s="19">
        <v>0</v>
      </c>
      <c r="H68" s="142">
        <f t="shared" si="0"/>
        <v>63.04</v>
      </c>
    </row>
    <row r="69" spans="1:8" ht="15" customHeight="1" x14ac:dyDescent="0.25">
      <c r="A69" s="59" t="s">
        <v>304</v>
      </c>
      <c r="B69" s="58" t="s">
        <v>301</v>
      </c>
      <c r="C69" s="33">
        <v>0</v>
      </c>
      <c r="D69" s="33">
        <f>7.01</f>
        <v>7.01</v>
      </c>
      <c r="E69" s="99">
        <v>0</v>
      </c>
      <c r="F69" s="19">
        <f>SUM(C69:E69)</f>
        <v>7.01</v>
      </c>
      <c r="G69" s="19">
        <v>0</v>
      </c>
      <c r="H69" s="142">
        <f t="shared" si="0"/>
        <v>7.01</v>
      </c>
    </row>
    <row r="70" spans="1:8" ht="15.75" customHeight="1" x14ac:dyDescent="0.25">
      <c r="A70" s="17" t="s">
        <v>58</v>
      </c>
      <c r="B70" s="58" t="s">
        <v>36</v>
      </c>
      <c r="C70" s="33">
        <v>1725</v>
      </c>
      <c r="D70" s="33">
        <v>0</v>
      </c>
      <c r="E70" s="99">
        <v>50</v>
      </c>
      <c r="F70" s="19">
        <f t="shared" si="10"/>
        <v>1775</v>
      </c>
      <c r="G70" s="19">
        <v>0</v>
      </c>
      <c r="H70" s="142">
        <f t="shared" si="0"/>
        <v>1775</v>
      </c>
    </row>
    <row r="71" spans="1:8" ht="15" customHeight="1" x14ac:dyDescent="0.25">
      <c r="A71" s="17" t="s">
        <v>59</v>
      </c>
      <c r="B71" s="58" t="s">
        <v>36</v>
      </c>
      <c r="C71" s="33">
        <v>4652</v>
      </c>
      <c r="D71" s="33">
        <v>0</v>
      </c>
      <c r="E71" s="99">
        <v>401</v>
      </c>
      <c r="F71" s="19">
        <f t="shared" si="10"/>
        <v>5053</v>
      </c>
      <c r="G71" s="19">
        <v>0</v>
      </c>
      <c r="H71" s="142">
        <f t="shared" si="0"/>
        <v>5053</v>
      </c>
    </row>
    <row r="72" spans="1:8" ht="15" customHeight="1" x14ac:dyDescent="0.25">
      <c r="A72" s="17" t="s">
        <v>309</v>
      </c>
      <c r="B72" s="58" t="s">
        <v>301</v>
      </c>
      <c r="C72" s="33">
        <v>0</v>
      </c>
      <c r="D72" s="33">
        <f>85.29</f>
        <v>85.29</v>
      </c>
      <c r="E72" s="99">
        <v>0</v>
      </c>
      <c r="F72" s="19">
        <f>SUM(C72:E72)</f>
        <v>85.29</v>
      </c>
      <c r="G72" s="19">
        <v>0</v>
      </c>
      <c r="H72" s="142">
        <f t="shared" ref="H72:H135" si="11">SUM(F72:G72)</f>
        <v>85.29</v>
      </c>
    </row>
    <row r="73" spans="1:8" ht="15" customHeight="1" x14ac:dyDescent="0.25">
      <c r="A73" s="17" t="s">
        <v>310</v>
      </c>
      <c r="B73" s="58" t="s">
        <v>301</v>
      </c>
      <c r="C73" s="33">
        <v>0</v>
      </c>
      <c r="D73" s="33">
        <f>9.48</f>
        <v>9.48</v>
      </c>
      <c r="E73" s="99">
        <v>0</v>
      </c>
      <c r="F73" s="19">
        <f>SUM(C73:E73)</f>
        <v>9.48</v>
      </c>
      <c r="G73" s="19">
        <v>0</v>
      </c>
      <c r="H73" s="142">
        <f t="shared" si="11"/>
        <v>9.48</v>
      </c>
    </row>
    <row r="74" spans="1:8" ht="15" customHeight="1" x14ac:dyDescent="0.25">
      <c r="A74" s="59" t="s">
        <v>60</v>
      </c>
      <c r="B74" s="58" t="s">
        <v>36</v>
      </c>
      <c r="C74" s="33">
        <v>4512</v>
      </c>
      <c r="D74" s="33">
        <v>0</v>
      </c>
      <c r="E74" s="99">
        <v>461</v>
      </c>
      <c r="F74" s="19">
        <f t="shared" si="10"/>
        <v>4973</v>
      </c>
      <c r="G74" s="19">
        <v>0</v>
      </c>
      <c r="H74" s="142">
        <f>SUM(F74:G74)</f>
        <v>4973</v>
      </c>
    </row>
    <row r="75" spans="1:8" ht="15" customHeight="1" x14ac:dyDescent="0.25">
      <c r="A75" s="59" t="s">
        <v>300</v>
      </c>
      <c r="B75" s="58" t="s">
        <v>301</v>
      </c>
      <c r="C75" s="33">
        <v>0</v>
      </c>
      <c r="D75" s="33">
        <f>83.43</f>
        <v>83.43</v>
      </c>
      <c r="E75" s="99">
        <v>0</v>
      </c>
      <c r="F75" s="19">
        <f>SUM(C75:E75)</f>
        <v>83.43</v>
      </c>
      <c r="G75" s="19">
        <v>0</v>
      </c>
      <c r="H75" s="142">
        <f t="shared" si="11"/>
        <v>83.43</v>
      </c>
    </row>
    <row r="76" spans="1:8" ht="15" customHeight="1" x14ac:dyDescent="0.25">
      <c r="A76" s="59" t="s">
        <v>302</v>
      </c>
      <c r="B76" s="58" t="s">
        <v>301</v>
      </c>
      <c r="C76" s="33">
        <v>0</v>
      </c>
      <c r="D76" s="33">
        <f>9.27</f>
        <v>9.27</v>
      </c>
      <c r="E76" s="99">
        <v>0</v>
      </c>
      <c r="F76" s="19">
        <f>SUM(C76:E76)</f>
        <v>9.27</v>
      </c>
      <c r="G76" s="19">
        <v>0</v>
      </c>
      <c r="H76" s="142">
        <f>SUM(F76:G76)</f>
        <v>9.27</v>
      </c>
    </row>
    <row r="77" spans="1:8" ht="15" customHeight="1" x14ac:dyDescent="0.25">
      <c r="A77" s="59" t="s">
        <v>61</v>
      </c>
      <c r="B77" s="58" t="s">
        <v>36</v>
      </c>
      <c r="C77" s="33">
        <v>382</v>
      </c>
      <c r="D77" s="33">
        <v>0</v>
      </c>
      <c r="E77" s="99">
        <v>50</v>
      </c>
      <c r="F77" s="19">
        <f t="shared" si="10"/>
        <v>432</v>
      </c>
      <c r="G77" s="19">
        <v>0</v>
      </c>
      <c r="H77" s="142">
        <f t="shared" si="11"/>
        <v>432</v>
      </c>
    </row>
    <row r="78" spans="1:8" ht="15" customHeight="1" x14ac:dyDescent="0.25">
      <c r="A78" s="59" t="s">
        <v>62</v>
      </c>
      <c r="B78" s="58" t="s">
        <v>36</v>
      </c>
      <c r="C78" s="33">
        <v>343</v>
      </c>
      <c r="D78" s="33">
        <v>0</v>
      </c>
      <c r="E78" s="99">
        <v>50</v>
      </c>
      <c r="F78" s="19">
        <f t="shared" si="10"/>
        <v>393</v>
      </c>
      <c r="G78" s="22">
        <v>0</v>
      </c>
      <c r="H78" s="149">
        <f t="shared" si="11"/>
        <v>393</v>
      </c>
    </row>
    <row r="79" spans="1:8" ht="15" customHeight="1" x14ac:dyDescent="0.25">
      <c r="A79" s="59" t="s">
        <v>63</v>
      </c>
      <c r="B79" s="58" t="s">
        <v>36</v>
      </c>
      <c r="C79" s="33">
        <v>4076</v>
      </c>
      <c r="D79" s="33">
        <v>0</v>
      </c>
      <c r="E79" s="99">
        <v>517</v>
      </c>
      <c r="F79" s="19">
        <f t="shared" si="10"/>
        <v>4593</v>
      </c>
      <c r="G79" s="19">
        <v>0</v>
      </c>
      <c r="H79" s="142">
        <f t="shared" si="11"/>
        <v>4593</v>
      </c>
    </row>
    <row r="80" spans="1:8" ht="15" customHeight="1" x14ac:dyDescent="0.25">
      <c r="A80" s="59" t="s">
        <v>305</v>
      </c>
      <c r="B80" s="58" t="s">
        <v>301</v>
      </c>
      <c r="C80" s="33">
        <v>0</v>
      </c>
      <c r="D80" s="33">
        <f>83.43</f>
        <v>83.43</v>
      </c>
      <c r="E80" s="99">
        <v>0</v>
      </c>
      <c r="F80" s="19">
        <f>SUM(C80:E80)</f>
        <v>83.43</v>
      </c>
      <c r="G80" s="19">
        <v>0</v>
      </c>
      <c r="H80" s="142">
        <f t="shared" si="11"/>
        <v>83.43</v>
      </c>
    </row>
    <row r="81" spans="1:8" ht="15" customHeight="1" x14ac:dyDescent="0.25">
      <c r="A81" s="59" t="s">
        <v>306</v>
      </c>
      <c r="B81" s="58" t="s">
        <v>301</v>
      </c>
      <c r="C81" s="33">
        <v>0</v>
      </c>
      <c r="D81" s="33">
        <f>9.27</f>
        <v>9.27</v>
      </c>
      <c r="E81" s="99">
        <v>0</v>
      </c>
      <c r="F81" s="19">
        <f>SUM(C81:E81)</f>
        <v>9.27</v>
      </c>
      <c r="G81" s="19">
        <v>0</v>
      </c>
      <c r="H81" s="142">
        <f t="shared" si="11"/>
        <v>9.27</v>
      </c>
    </row>
    <row r="82" spans="1:8" ht="15" customHeight="1" x14ac:dyDescent="0.25">
      <c r="A82" s="59" t="s">
        <v>64</v>
      </c>
      <c r="B82" s="58" t="s">
        <v>36</v>
      </c>
      <c r="C82" s="33">
        <v>385</v>
      </c>
      <c r="D82" s="33">
        <v>0</v>
      </c>
      <c r="E82" s="99">
        <v>50</v>
      </c>
      <c r="F82" s="19">
        <f t="shared" si="10"/>
        <v>435</v>
      </c>
      <c r="G82" s="19">
        <v>0</v>
      </c>
      <c r="H82" s="142">
        <f t="shared" si="11"/>
        <v>435</v>
      </c>
    </row>
    <row r="83" spans="1:8" ht="15" customHeight="1" x14ac:dyDescent="0.25">
      <c r="A83" s="59" t="s">
        <v>65</v>
      </c>
      <c r="B83" s="58" t="s">
        <v>36</v>
      </c>
      <c r="C83" s="33">
        <v>3531</v>
      </c>
      <c r="D83" s="33">
        <v>0</v>
      </c>
      <c r="E83" s="99">
        <v>262</v>
      </c>
      <c r="F83" s="19">
        <f t="shared" si="10"/>
        <v>3793</v>
      </c>
      <c r="G83" s="19">
        <v>0</v>
      </c>
      <c r="H83" s="142">
        <f t="shared" si="11"/>
        <v>3793</v>
      </c>
    </row>
    <row r="84" spans="1:8" ht="15" customHeight="1" x14ac:dyDescent="0.25">
      <c r="A84" s="59" t="s">
        <v>311</v>
      </c>
      <c r="B84" s="58" t="s">
        <v>301</v>
      </c>
      <c r="C84" s="33">
        <v>0</v>
      </c>
      <c r="D84" s="33">
        <f>87.61</f>
        <v>87.61</v>
      </c>
      <c r="E84" s="99">
        <v>0</v>
      </c>
      <c r="F84" s="19">
        <f>SUM(C84:E84)</f>
        <v>87.61</v>
      </c>
      <c r="G84" s="19">
        <v>0</v>
      </c>
      <c r="H84" s="142">
        <f t="shared" si="11"/>
        <v>87.61</v>
      </c>
    </row>
    <row r="85" spans="1:8" ht="15" customHeight="1" x14ac:dyDescent="0.25">
      <c r="A85" s="59" t="s">
        <v>312</v>
      </c>
      <c r="B85" s="58" t="s">
        <v>301</v>
      </c>
      <c r="C85" s="33">
        <v>0</v>
      </c>
      <c r="D85" s="33">
        <f>9.74</f>
        <v>9.74</v>
      </c>
      <c r="E85" s="99">
        <v>0</v>
      </c>
      <c r="F85" s="19">
        <f>SUM(C85:E85)</f>
        <v>9.74</v>
      </c>
      <c r="G85" s="19">
        <v>0</v>
      </c>
      <c r="H85" s="142">
        <f t="shared" si="11"/>
        <v>9.74</v>
      </c>
    </row>
    <row r="86" spans="1:8" ht="28.5" customHeight="1" x14ac:dyDescent="0.25">
      <c r="A86" s="17" t="s">
        <v>290</v>
      </c>
      <c r="B86" s="58" t="s">
        <v>273</v>
      </c>
      <c r="C86" s="33">
        <v>0</v>
      </c>
      <c r="D86" s="33">
        <v>0</v>
      </c>
      <c r="E86" s="99">
        <v>16.66</v>
      </c>
      <c r="F86" s="19">
        <f t="shared" si="10"/>
        <v>16.66</v>
      </c>
      <c r="G86" s="19">
        <v>0</v>
      </c>
      <c r="H86" s="142">
        <f t="shared" si="11"/>
        <v>16.66</v>
      </c>
    </row>
    <row r="87" spans="1:8" ht="15" customHeight="1" x14ac:dyDescent="0.25">
      <c r="A87" s="59" t="s">
        <v>66</v>
      </c>
      <c r="B87" s="58" t="s">
        <v>36</v>
      </c>
      <c r="C87" s="33">
        <v>4894</v>
      </c>
      <c r="D87" s="33">
        <v>0</v>
      </c>
      <c r="E87" s="99">
        <v>550</v>
      </c>
      <c r="F87" s="19">
        <f t="shared" si="10"/>
        <v>5444</v>
      </c>
      <c r="G87" s="19">
        <v>0</v>
      </c>
      <c r="H87" s="142">
        <f t="shared" si="11"/>
        <v>5444</v>
      </c>
    </row>
    <row r="88" spans="1:8" ht="27.75" customHeight="1" x14ac:dyDescent="0.25">
      <c r="A88" s="17" t="s">
        <v>291</v>
      </c>
      <c r="B88" s="58" t="s">
        <v>273</v>
      </c>
      <c r="C88" s="33">
        <v>0</v>
      </c>
      <c r="D88" s="33">
        <v>0</v>
      </c>
      <c r="E88" s="99">
        <v>36.58</v>
      </c>
      <c r="F88" s="19">
        <f>SUM(C88:E88)</f>
        <v>36.58</v>
      </c>
      <c r="G88" s="19">
        <v>0</v>
      </c>
      <c r="H88" s="142">
        <f t="shared" si="11"/>
        <v>36.58</v>
      </c>
    </row>
    <row r="89" spans="1:8" ht="17.25" customHeight="1" x14ac:dyDescent="0.25">
      <c r="A89" s="17" t="s">
        <v>67</v>
      </c>
      <c r="B89" s="58" t="s">
        <v>36</v>
      </c>
      <c r="C89" s="33">
        <v>9231</v>
      </c>
      <c r="D89" s="33">
        <v>0</v>
      </c>
      <c r="E89" s="99">
        <v>1173</v>
      </c>
      <c r="F89" s="19">
        <f t="shared" si="10"/>
        <v>10404</v>
      </c>
      <c r="G89" s="19">
        <v>0</v>
      </c>
      <c r="H89" s="142">
        <f t="shared" si="11"/>
        <v>10404</v>
      </c>
    </row>
    <row r="90" spans="1:8" ht="15" customHeight="1" x14ac:dyDescent="0.25">
      <c r="A90" s="17" t="s">
        <v>68</v>
      </c>
      <c r="B90" s="58" t="s">
        <v>36</v>
      </c>
      <c r="C90" s="33">
        <v>7728</v>
      </c>
      <c r="D90" s="33">
        <v>0</v>
      </c>
      <c r="E90" s="99">
        <v>220</v>
      </c>
      <c r="F90" s="19">
        <f t="shared" si="10"/>
        <v>7948</v>
      </c>
      <c r="G90" s="19">
        <v>0</v>
      </c>
      <c r="H90" s="142">
        <f t="shared" si="11"/>
        <v>7948</v>
      </c>
    </row>
    <row r="91" spans="1:8" x14ac:dyDescent="0.25">
      <c r="A91" s="59" t="s">
        <v>69</v>
      </c>
      <c r="B91" s="58" t="s">
        <v>36</v>
      </c>
      <c r="C91" s="33">
        <v>2224</v>
      </c>
      <c r="D91" s="33">
        <v>0</v>
      </c>
      <c r="E91" s="99">
        <v>100</v>
      </c>
      <c r="F91" s="19">
        <f t="shared" si="10"/>
        <v>2324</v>
      </c>
      <c r="G91" s="19">
        <v>0</v>
      </c>
      <c r="H91" s="142">
        <f t="shared" si="11"/>
        <v>2324</v>
      </c>
    </row>
    <row r="92" spans="1:8" x14ac:dyDescent="0.25">
      <c r="A92" s="59" t="s">
        <v>70</v>
      </c>
      <c r="B92" s="58" t="s">
        <v>36</v>
      </c>
      <c r="C92" s="33">
        <v>5122</v>
      </c>
      <c r="D92" s="33">
        <v>0</v>
      </c>
      <c r="E92" s="99">
        <v>417</v>
      </c>
      <c r="F92" s="19">
        <f t="shared" si="10"/>
        <v>5539</v>
      </c>
      <c r="G92" s="19">
        <v>0</v>
      </c>
      <c r="H92" s="142">
        <f t="shared" si="11"/>
        <v>5539</v>
      </c>
    </row>
    <row r="93" spans="1:8" ht="15.75" customHeight="1" x14ac:dyDescent="0.25">
      <c r="A93" s="17" t="s">
        <v>71</v>
      </c>
      <c r="B93" s="58" t="s">
        <v>36</v>
      </c>
      <c r="C93" s="33">
        <v>14283</v>
      </c>
      <c r="D93" s="33">
        <v>0</v>
      </c>
      <c r="E93" s="99">
        <v>214</v>
      </c>
      <c r="F93" s="19">
        <f t="shared" si="10"/>
        <v>14497</v>
      </c>
      <c r="G93" s="19">
        <v>0</v>
      </c>
      <c r="H93" s="142">
        <f t="shared" si="11"/>
        <v>14497</v>
      </c>
    </row>
    <row r="94" spans="1:8" x14ac:dyDescent="0.25">
      <c r="A94" s="59" t="s">
        <v>72</v>
      </c>
      <c r="B94" s="58" t="s">
        <v>36</v>
      </c>
      <c r="C94" s="33">
        <v>9246</v>
      </c>
      <c r="D94" s="33">
        <v>0</v>
      </c>
      <c r="E94" s="99">
        <v>555</v>
      </c>
      <c r="F94" s="19">
        <f t="shared" si="10"/>
        <v>9801</v>
      </c>
      <c r="G94" s="19">
        <v>0</v>
      </c>
      <c r="H94" s="142">
        <f t="shared" si="11"/>
        <v>9801</v>
      </c>
    </row>
    <row r="95" spans="1:8" x14ac:dyDescent="0.25">
      <c r="A95" s="59" t="s">
        <v>73</v>
      </c>
      <c r="B95" s="58" t="s">
        <v>36</v>
      </c>
      <c r="C95" s="33">
        <v>10173</v>
      </c>
      <c r="D95" s="33">
        <v>0</v>
      </c>
      <c r="E95" s="99">
        <v>337</v>
      </c>
      <c r="F95" s="19">
        <f t="shared" si="10"/>
        <v>10510</v>
      </c>
      <c r="G95" s="19">
        <v>0</v>
      </c>
      <c r="H95" s="142">
        <f t="shared" si="11"/>
        <v>10510</v>
      </c>
    </row>
    <row r="96" spans="1:8" x14ac:dyDescent="0.25">
      <c r="A96" s="59" t="s">
        <v>74</v>
      </c>
      <c r="B96" s="58" t="s">
        <v>36</v>
      </c>
      <c r="C96" s="33">
        <v>7853</v>
      </c>
      <c r="D96" s="33">
        <v>0</v>
      </c>
      <c r="E96" s="99">
        <v>168</v>
      </c>
      <c r="F96" s="19">
        <f t="shared" si="10"/>
        <v>8021</v>
      </c>
      <c r="G96" s="19">
        <v>0</v>
      </c>
      <c r="H96" s="142">
        <f t="shared" si="11"/>
        <v>8021</v>
      </c>
    </row>
    <row r="97" spans="1:8" x14ac:dyDescent="0.25">
      <c r="A97" s="59" t="s">
        <v>75</v>
      </c>
      <c r="B97" s="58" t="s">
        <v>36</v>
      </c>
      <c r="C97" s="33">
        <v>3554</v>
      </c>
      <c r="D97" s="33">
        <v>0</v>
      </c>
      <c r="E97" s="99">
        <v>462</v>
      </c>
      <c r="F97" s="19">
        <f t="shared" si="10"/>
        <v>4016</v>
      </c>
      <c r="G97" s="19">
        <v>0</v>
      </c>
      <c r="H97" s="142">
        <f t="shared" si="11"/>
        <v>4016</v>
      </c>
    </row>
    <row r="98" spans="1:8" ht="15.75" customHeight="1" x14ac:dyDescent="0.25">
      <c r="A98" s="59" t="s">
        <v>76</v>
      </c>
      <c r="B98" s="58" t="s">
        <v>36</v>
      </c>
      <c r="C98" s="33">
        <v>1575</v>
      </c>
      <c r="D98" s="33">
        <v>0</v>
      </c>
      <c r="E98" s="99">
        <v>100</v>
      </c>
      <c r="F98" s="19">
        <f t="shared" si="10"/>
        <v>1675</v>
      </c>
      <c r="G98" s="19">
        <v>0</v>
      </c>
      <c r="H98" s="142">
        <f t="shared" si="11"/>
        <v>1675</v>
      </c>
    </row>
    <row r="99" spans="1:8" x14ac:dyDescent="0.25">
      <c r="A99" s="59" t="s">
        <v>77</v>
      </c>
      <c r="B99" s="58" t="s">
        <v>36</v>
      </c>
      <c r="C99" s="33">
        <v>11136</v>
      </c>
      <c r="D99" s="33">
        <v>0</v>
      </c>
      <c r="E99" s="99">
        <v>1062</v>
      </c>
      <c r="F99" s="19">
        <f t="shared" si="10"/>
        <v>12198</v>
      </c>
      <c r="G99" s="19">
        <v>0</v>
      </c>
      <c r="H99" s="142">
        <f t="shared" si="11"/>
        <v>12198</v>
      </c>
    </row>
    <row r="100" spans="1:8" x14ac:dyDescent="0.25">
      <c r="A100" s="59" t="s">
        <v>265</v>
      </c>
      <c r="B100" s="58" t="s">
        <v>266</v>
      </c>
      <c r="C100" s="33">
        <v>0</v>
      </c>
      <c r="D100" s="33">
        <f>166.86-143.36</f>
        <v>23.5</v>
      </c>
      <c r="E100" s="99">
        <v>0</v>
      </c>
      <c r="F100" s="19">
        <f t="shared" si="10"/>
        <v>23.5</v>
      </c>
      <c r="G100" s="19">
        <v>0</v>
      </c>
      <c r="H100" s="142">
        <f t="shared" si="11"/>
        <v>23.5</v>
      </c>
    </row>
    <row r="101" spans="1:8" x14ac:dyDescent="0.25">
      <c r="A101" s="59" t="s">
        <v>267</v>
      </c>
      <c r="B101" s="58" t="s">
        <v>266</v>
      </c>
      <c r="C101" s="33">
        <v>0</v>
      </c>
      <c r="D101" s="33">
        <f>18.54-15.92</f>
        <v>2.6199999999999992</v>
      </c>
      <c r="E101" s="99">
        <v>0</v>
      </c>
      <c r="F101" s="19">
        <f t="shared" si="10"/>
        <v>2.6199999999999992</v>
      </c>
      <c r="G101" s="19">
        <v>0</v>
      </c>
      <c r="H101" s="142">
        <f t="shared" si="11"/>
        <v>2.6199999999999992</v>
      </c>
    </row>
    <row r="102" spans="1:8" x14ac:dyDescent="0.25">
      <c r="A102" s="59" t="s">
        <v>78</v>
      </c>
      <c r="B102" s="58" t="s">
        <v>36</v>
      </c>
      <c r="C102" s="33">
        <v>2265</v>
      </c>
      <c r="D102" s="33">
        <v>0</v>
      </c>
      <c r="E102" s="99">
        <v>337</v>
      </c>
      <c r="F102" s="19">
        <f t="shared" si="10"/>
        <v>2602</v>
      </c>
      <c r="G102" s="16">
        <v>0</v>
      </c>
      <c r="H102" s="141">
        <f t="shared" si="11"/>
        <v>2602</v>
      </c>
    </row>
    <row r="103" spans="1:8" x14ac:dyDescent="0.25">
      <c r="A103" s="59" t="s">
        <v>79</v>
      </c>
      <c r="B103" s="58" t="s">
        <v>36</v>
      </c>
      <c r="C103" s="33">
        <v>2082</v>
      </c>
      <c r="D103" s="63">
        <v>0</v>
      </c>
      <c r="E103" s="99">
        <v>600</v>
      </c>
      <c r="F103" s="19">
        <f t="shared" si="10"/>
        <v>2682</v>
      </c>
      <c r="G103" s="19">
        <v>0</v>
      </c>
      <c r="H103" s="142">
        <f t="shared" si="11"/>
        <v>2682</v>
      </c>
    </row>
    <row r="104" spans="1:8" x14ac:dyDescent="0.25">
      <c r="A104" s="64" t="s">
        <v>80</v>
      </c>
      <c r="B104" s="65" t="s">
        <v>36</v>
      </c>
      <c r="C104" s="63">
        <v>2658</v>
      </c>
      <c r="D104" s="63">
        <v>0</v>
      </c>
      <c r="E104" s="99">
        <v>0</v>
      </c>
      <c r="F104" s="19">
        <f t="shared" si="10"/>
        <v>2658</v>
      </c>
      <c r="G104" s="19">
        <v>0</v>
      </c>
      <c r="H104" s="142">
        <f t="shared" si="11"/>
        <v>2658</v>
      </c>
    </row>
    <row r="105" spans="1:8" ht="15.75" customHeight="1" x14ac:dyDescent="0.25">
      <c r="A105" s="64" t="s">
        <v>81</v>
      </c>
      <c r="B105" s="65" t="s">
        <v>36</v>
      </c>
      <c r="C105" s="63">
        <v>21688</v>
      </c>
      <c r="D105" s="63">
        <v>0</v>
      </c>
      <c r="E105" s="99">
        <v>0</v>
      </c>
      <c r="F105" s="19">
        <f t="shared" si="10"/>
        <v>21688</v>
      </c>
      <c r="G105" s="19">
        <v>0</v>
      </c>
      <c r="H105" s="142">
        <f t="shared" si="11"/>
        <v>21688</v>
      </c>
    </row>
    <row r="106" spans="1:8" x14ac:dyDescent="0.25">
      <c r="A106" s="64" t="s">
        <v>82</v>
      </c>
      <c r="B106" s="65" t="s">
        <v>36</v>
      </c>
      <c r="C106" s="63">
        <v>26531</v>
      </c>
      <c r="D106" s="63">
        <v>0</v>
      </c>
      <c r="E106" s="99">
        <v>0</v>
      </c>
      <c r="F106" s="19">
        <f t="shared" si="10"/>
        <v>26531</v>
      </c>
      <c r="G106" s="19">
        <v>0</v>
      </c>
      <c r="H106" s="142">
        <f t="shared" si="11"/>
        <v>26531</v>
      </c>
    </row>
    <row r="107" spans="1:8" ht="28.5" customHeight="1" x14ac:dyDescent="0.25">
      <c r="A107" s="73" t="s">
        <v>289</v>
      </c>
      <c r="B107" s="65" t="s">
        <v>36</v>
      </c>
      <c r="C107" s="33">
        <v>0</v>
      </c>
      <c r="D107" s="33">
        <v>0</v>
      </c>
      <c r="E107" s="19">
        <v>1400</v>
      </c>
      <c r="F107" s="19">
        <f t="shared" si="10"/>
        <v>1400</v>
      </c>
      <c r="G107" s="19">
        <v>0</v>
      </c>
      <c r="H107" s="142">
        <f t="shared" si="11"/>
        <v>1400</v>
      </c>
    </row>
    <row r="108" spans="1:8" ht="38.25" customHeight="1" x14ac:dyDescent="0.25">
      <c r="A108" s="66" t="s">
        <v>83</v>
      </c>
      <c r="B108" s="67"/>
      <c r="C108" s="68">
        <v>9000</v>
      </c>
      <c r="D108" s="68">
        <f>-2223.7</f>
        <v>-2223.6999999999998</v>
      </c>
      <c r="E108" s="102">
        <v>82.59</v>
      </c>
      <c r="F108" s="28">
        <f t="shared" si="10"/>
        <v>6858.89</v>
      </c>
      <c r="G108" s="19">
        <v>0</v>
      </c>
      <c r="H108" s="142">
        <f t="shared" si="11"/>
        <v>6858.89</v>
      </c>
    </row>
    <row r="109" spans="1:8" ht="16.5" customHeight="1" x14ac:dyDescent="0.25">
      <c r="A109" s="72" t="s">
        <v>84</v>
      </c>
      <c r="B109" s="65" t="s">
        <v>85</v>
      </c>
      <c r="C109" s="63">
        <v>0</v>
      </c>
      <c r="D109" s="63">
        <f>173.63</f>
        <v>173.63</v>
      </c>
      <c r="E109" s="99">
        <v>0</v>
      </c>
      <c r="F109" s="19">
        <f t="shared" si="10"/>
        <v>173.63</v>
      </c>
      <c r="G109" s="19">
        <v>0</v>
      </c>
      <c r="H109" s="142">
        <f t="shared" si="11"/>
        <v>173.63</v>
      </c>
    </row>
    <row r="110" spans="1:8" ht="16.5" customHeight="1" x14ac:dyDescent="0.25">
      <c r="A110" s="72" t="s">
        <v>86</v>
      </c>
      <c r="B110" s="65" t="s">
        <v>85</v>
      </c>
      <c r="C110" s="63">
        <v>0</v>
      </c>
      <c r="D110" s="63">
        <f>114.47</f>
        <v>114.47</v>
      </c>
      <c r="E110" s="99">
        <v>0</v>
      </c>
      <c r="F110" s="19">
        <f t="shared" si="10"/>
        <v>114.47</v>
      </c>
      <c r="G110" s="19">
        <v>0</v>
      </c>
      <c r="H110" s="142">
        <f t="shared" si="11"/>
        <v>114.47</v>
      </c>
    </row>
    <row r="111" spans="1:8" ht="16.5" customHeight="1" x14ac:dyDescent="0.25">
      <c r="A111" s="72" t="s">
        <v>87</v>
      </c>
      <c r="B111" s="65" t="s">
        <v>85</v>
      </c>
      <c r="C111" s="63">
        <v>0</v>
      </c>
      <c r="D111" s="63">
        <f>182.99</f>
        <v>182.99</v>
      </c>
      <c r="E111" s="99">
        <v>0</v>
      </c>
      <c r="F111" s="19">
        <f t="shared" si="10"/>
        <v>182.99</v>
      </c>
      <c r="G111" s="19">
        <v>0</v>
      </c>
      <c r="H111" s="142">
        <f t="shared" si="11"/>
        <v>182.99</v>
      </c>
    </row>
    <row r="112" spans="1:8" ht="16.5" customHeight="1" x14ac:dyDescent="0.25">
      <c r="A112" s="72" t="s">
        <v>88</v>
      </c>
      <c r="B112" s="65" t="s">
        <v>85</v>
      </c>
      <c r="C112" s="63">
        <v>0</v>
      </c>
      <c r="D112" s="63">
        <f>407.87</f>
        <v>407.87</v>
      </c>
      <c r="E112" s="99">
        <v>0</v>
      </c>
      <c r="F112" s="19">
        <f t="shared" si="10"/>
        <v>407.87</v>
      </c>
      <c r="G112" s="19">
        <v>0</v>
      </c>
      <c r="H112" s="142">
        <f t="shared" si="11"/>
        <v>407.87</v>
      </c>
    </row>
    <row r="113" spans="1:8" ht="16.5" customHeight="1" x14ac:dyDescent="0.25">
      <c r="A113" s="72" t="s">
        <v>89</v>
      </c>
      <c r="B113" s="65" t="s">
        <v>85</v>
      </c>
      <c r="C113" s="63">
        <v>0</v>
      </c>
      <c r="D113" s="63">
        <f>285.02</f>
        <v>285.02</v>
      </c>
      <c r="E113" s="99">
        <v>0</v>
      </c>
      <c r="F113" s="19">
        <f t="shared" si="10"/>
        <v>285.02</v>
      </c>
      <c r="G113" s="19">
        <v>0</v>
      </c>
      <c r="H113" s="142">
        <f t="shared" si="11"/>
        <v>285.02</v>
      </c>
    </row>
    <row r="114" spans="1:8" ht="16.5" customHeight="1" x14ac:dyDescent="0.25">
      <c r="A114" s="72" t="s">
        <v>90</v>
      </c>
      <c r="B114" s="65" t="s">
        <v>85</v>
      </c>
      <c r="C114" s="63">
        <v>0</v>
      </c>
      <c r="D114" s="63">
        <f>187.67</f>
        <v>187.67</v>
      </c>
      <c r="E114" s="99">
        <v>0</v>
      </c>
      <c r="F114" s="19">
        <f t="shared" si="10"/>
        <v>187.67</v>
      </c>
      <c r="G114" s="19">
        <v>0</v>
      </c>
      <c r="H114" s="142">
        <f t="shared" si="11"/>
        <v>187.67</v>
      </c>
    </row>
    <row r="115" spans="1:8" ht="16.5" customHeight="1" x14ac:dyDescent="0.25">
      <c r="A115" s="72" t="s">
        <v>91</v>
      </c>
      <c r="B115" s="65" t="s">
        <v>85</v>
      </c>
      <c r="C115" s="63">
        <v>0</v>
      </c>
      <c r="D115" s="63">
        <f>306.78</f>
        <v>306.77999999999997</v>
      </c>
      <c r="E115" s="99">
        <v>0</v>
      </c>
      <c r="F115" s="19">
        <f t="shared" si="10"/>
        <v>306.77999999999997</v>
      </c>
      <c r="G115" s="19">
        <v>0</v>
      </c>
      <c r="H115" s="142">
        <f t="shared" si="11"/>
        <v>306.77999999999997</v>
      </c>
    </row>
    <row r="116" spans="1:8" ht="16.5" customHeight="1" x14ac:dyDescent="0.25">
      <c r="A116" s="72" t="s">
        <v>92</v>
      </c>
      <c r="B116" s="65" t="s">
        <v>85</v>
      </c>
      <c r="C116" s="63">
        <v>0</v>
      </c>
      <c r="D116" s="63">
        <f>398.76</f>
        <v>398.76</v>
      </c>
      <c r="E116" s="99">
        <v>0</v>
      </c>
      <c r="F116" s="19">
        <f t="shared" si="10"/>
        <v>398.76</v>
      </c>
      <c r="G116" s="19">
        <v>0</v>
      </c>
      <c r="H116" s="142">
        <f t="shared" si="11"/>
        <v>398.76</v>
      </c>
    </row>
    <row r="117" spans="1:8" ht="17.25" customHeight="1" x14ac:dyDescent="0.25">
      <c r="A117" s="72" t="s">
        <v>93</v>
      </c>
      <c r="B117" s="65" t="s">
        <v>85</v>
      </c>
      <c r="C117" s="63">
        <v>0</v>
      </c>
      <c r="D117" s="63">
        <f>43.06</f>
        <v>43.06</v>
      </c>
      <c r="E117" s="99">
        <v>0</v>
      </c>
      <c r="F117" s="19">
        <f t="shared" si="10"/>
        <v>43.06</v>
      </c>
      <c r="G117" s="19">
        <v>0</v>
      </c>
      <c r="H117" s="142">
        <f t="shared" si="11"/>
        <v>43.06</v>
      </c>
    </row>
    <row r="118" spans="1:8" ht="16.5" customHeight="1" x14ac:dyDescent="0.25">
      <c r="A118" s="17" t="s">
        <v>94</v>
      </c>
      <c r="B118" s="58" t="s">
        <v>85</v>
      </c>
      <c r="C118" s="33">
        <v>0</v>
      </c>
      <c r="D118" s="33">
        <f>19.89</f>
        <v>19.89</v>
      </c>
      <c r="E118" s="19">
        <v>0</v>
      </c>
      <c r="F118" s="19">
        <f t="shared" si="10"/>
        <v>19.89</v>
      </c>
      <c r="G118" s="19">
        <v>0</v>
      </c>
      <c r="H118" s="142">
        <f t="shared" si="11"/>
        <v>19.89</v>
      </c>
    </row>
    <row r="119" spans="1:8" ht="16.5" customHeight="1" x14ac:dyDescent="0.25">
      <c r="A119" s="17" t="s">
        <v>95</v>
      </c>
      <c r="B119" s="58" t="s">
        <v>85</v>
      </c>
      <c r="C119" s="33">
        <v>0</v>
      </c>
      <c r="D119" s="33">
        <f>3.75</f>
        <v>3.75</v>
      </c>
      <c r="E119" s="19">
        <v>0</v>
      </c>
      <c r="F119" s="19">
        <f t="shared" si="10"/>
        <v>3.75</v>
      </c>
      <c r="G119" s="19">
        <v>0</v>
      </c>
      <c r="H119" s="142">
        <f t="shared" si="11"/>
        <v>3.75</v>
      </c>
    </row>
    <row r="120" spans="1:8" ht="16.5" customHeight="1" x14ac:dyDescent="0.25">
      <c r="A120" s="17" t="s">
        <v>96</v>
      </c>
      <c r="B120" s="58" t="s">
        <v>85</v>
      </c>
      <c r="C120" s="33">
        <v>0</v>
      </c>
      <c r="D120" s="33">
        <f>99.81</f>
        <v>99.81</v>
      </c>
      <c r="E120" s="19">
        <v>0</v>
      </c>
      <c r="F120" s="19">
        <f t="shared" si="10"/>
        <v>99.81</v>
      </c>
      <c r="G120" s="19">
        <v>0</v>
      </c>
      <c r="H120" s="142">
        <f t="shared" si="11"/>
        <v>99.81</v>
      </c>
    </row>
    <row r="121" spans="1:8" ht="15" customHeight="1" x14ac:dyDescent="0.25">
      <c r="A121" s="71" t="s">
        <v>97</v>
      </c>
      <c r="B121" s="69" t="s">
        <v>36</v>
      </c>
      <c r="C121" s="70">
        <v>400</v>
      </c>
      <c r="D121" s="70">
        <v>0</v>
      </c>
      <c r="E121" s="98">
        <v>0</v>
      </c>
      <c r="F121" s="19">
        <f t="shared" si="10"/>
        <v>400</v>
      </c>
      <c r="G121" s="19">
        <v>0</v>
      </c>
      <c r="H121" s="142">
        <f t="shared" si="11"/>
        <v>400</v>
      </c>
    </row>
    <row r="122" spans="1:8" ht="15" customHeight="1" x14ac:dyDescent="0.25">
      <c r="A122" s="72" t="s">
        <v>98</v>
      </c>
      <c r="B122" s="58" t="s">
        <v>36</v>
      </c>
      <c r="C122" s="63">
        <v>85</v>
      </c>
      <c r="D122" s="63">
        <v>0</v>
      </c>
      <c r="E122" s="99">
        <v>0</v>
      </c>
      <c r="F122" s="19">
        <f t="shared" si="10"/>
        <v>85</v>
      </c>
      <c r="G122" s="19">
        <v>0</v>
      </c>
      <c r="H122" s="142">
        <f t="shared" si="11"/>
        <v>85</v>
      </c>
    </row>
    <row r="123" spans="1:8" ht="15" customHeight="1" x14ac:dyDescent="0.25">
      <c r="A123" s="17" t="s">
        <v>99</v>
      </c>
      <c r="B123" s="58" t="s">
        <v>100</v>
      </c>
      <c r="C123" s="63">
        <v>1350</v>
      </c>
      <c r="D123" s="63">
        <v>0</v>
      </c>
      <c r="E123" s="99">
        <v>0</v>
      </c>
      <c r="F123" s="19">
        <f t="shared" si="10"/>
        <v>1350</v>
      </c>
      <c r="G123" s="19">
        <v>0</v>
      </c>
      <c r="H123" s="142">
        <f t="shared" si="11"/>
        <v>1350</v>
      </c>
    </row>
    <row r="124" spans="1:8" ht="15" customHeight="1" x14ac:dyDescent="0.25">
      <c r="A124" s="17" t="s">
        <v>101</v>
      </c>
      <c r="B124" s="58" t="s">
        <v>100</v>
      </c>
      <c r="C124" s="63">
        <v>1900</v>
      </c>
      <c r="D124" s="33">
        <v>0</v>
      </c>
      <c r="E124" s="99">
        <v>0</v>
      </c>
      <c r="F124" s="19">
        <f t="shared" si="10"/>
        <v>1900</v>
      </c>
      <c r="G124" s="19">
        <v>0</v>
      </c>
      <c r="H124" s="142">
        <f t="shared" si="11"/>
        <v>1900</v>
      </c>
    </row>
    <row r="125" spans="1:8" ht="18" customHeight="1" x14ac:dyDescent="0.25">
      <c r="A125" s="14" t="s">
        <v>102</v>
      </c>
      <c r="B125" s="123" t="s">
        <v>100</v>
      </c>
      <c r="C125" s="32">
        <v>1750</v>
      </c>
      <c r="D125" s="32">
        <v>0</v>
      </c>
      <c r="E125" s="98">
        <v>0</v>
      </c>
      <c r="F125" s="16">
        <f t="shared" si="10"/>
        <v>1750</v>
      </c>
      <c r="G125" s="28">
        <v>0</v>
      </c>
      <c r="H125" s="149">
        <f t="shared" si="11"/>
        <v>1750</v>
      </c>
    </row>
    <row r="126" spans="1:8" ht="28.5" customHeight="1" x14ac:dyDescent="0.25">
      <c r="A126" s="35" t="s">
        <v>103</v>
      </c>
      <c r="B126" s="58" t="s">
        <v>36</v>
      </c>
      <c r="C126" s="33">
        <v>700</v>
      </c>
      <c r="D126" s="33">
        <v>0</v>
      </c>
      <c r="E126" s="99">
        <v>0</v>
      </c>
      <c r="F126" s="19">
        <f t="shared" si="10"/>
        <v>700</v>
      </c>
      <c r="G126" s="19">
        <v>0</v>
      </c>
      <c r="H126" s="142">
        <f t="shared" si="11"/>
        <v>700</v>
      </c>
    </row>
    <row r="127" spans="1:8" ht="15" customHeight="1" x14ac:dyDescent="0.25">
      <c r="A127" s="17" t="s">
        <v>104</v>
      </c>
      <c r="B127" s="58"/>
      <c r="C127" s="33">
        <v>0</v>
      </c>
      <c r="D127" s="33">
        <v>0</v>
      </c>
      <c r="E127" s="99">
        <v>0</v>
      </c>
      <c r="F127" s="19">
        <f t="shared" si="10"/>
        <v>0</v>
      </c>
      <c r="G127" s="19">
        <v>0</v>
      </c>
      <c r="H127" s="142">
        <f t="shared" si="11"/>
        <v>0</v>
      </c>
    </row>
    <row r="128" spans="1:8" ht="16.5" customHeight="1" x14ac:dyDescent="0.25">
      <c r="A128" s="17" t="s">
        <v>105</v>
      </c>
      <c r="B128" s="58" t="s">
        <v>36</v>
      </c>
      <c r="C128" s="33">
        <v>50</v>
      </c>
      <c r="D128" s="33">
        <v>0</v>
      </c>
      <c r="E128" s="99">
        <v>0</v>
      </c>
      <c r="F128" s="19">
        <f t="shared" si="10"/>
        <v>50</v>
      </c>
      <c r="G128" s="19">
        <v>0</v>
      </c>
      <c r="H128" s="142">
        <f t="shared" si="11"/>
        <v>50</v>
      </c>
    </row>
    <row r="129" spans="1:8" ht="26.25" customHeight="1" x14ac:dyDescent="0.25">
      <c r="A129" s="17" t="s">
        <v>106</v>
      </c>
      <c r="B129" s="58" t="s">
        <v>36</v>
      </c>
      <c r="C129" s="33">
        <v>2000</v>
      </c>
      <c r="D129" s="33">
        <v>0</v>
      </c>
      <c r="E129" s="99">
        <v>0</v>
      </c>
      <c r="F129" s="19">
        <f t="shared" si="10"/>
        <v>2000</v>
      </c>
      <c r="G129" s="19">
        <v>0</v>
      </c>
      <c r="H129" s="142">
        <f t="shared" si="11"/>
        <v>2000</v>
      </c>
    </row>
    <row r="130" spans="1:8" ht="16.5" customHeight="1" x14ac:dyDescent="0.25">
      <c r="A130" s="17" t="s">
        <v>107</v>
      </c>
      <c r="B130" s="58" t="s">
        <v>36</v>
      </c>
      <c r="C130" s="33">
        <v>1700</v>
      </c>
      <c r="D130" s="33">
        <v>0</v>
      </c>
      <c r="E130" s="99">
        <v>0</v>
      </c>
      <c r="F130" s="19">
        <f t="shared" si="10"/>
        <v>1700</v>
      </c>
      <c r="G130" s="19">
        <v>0</v>
      </c>
      <c r="H130" s="142">
        <f t="shared" si="11"/>
        <v>1700</v>
      </c>
    </row>
    <row r="131" spans="1:8" ht="26.25" customHeight="1" x14ac:dyDescent="0.25">
      <c r="A131" s="17" t="s">
        <v>108</v>
      </c>
      <c r="B131" s="58" t="s">
        <v>36</v>
      </c>
      <c r="C131" s="33">
        <v>85</v>
      </c>
      <c r="D131" s="33">
        <v>0</v>
      </c>
      <c r="E131" s="99">
        <v>0</v>
      </c>
      <c r="F131" s="19">
        <f t="shared" si="10"/>
        <v>85</v>
      </c>
      <c r="G131" s="19">
        <v>0</v>
      </c>
      <c r="H131" s="142">
        <f t="shared" si="11"/>
        <v>85</v>
      </c>
    </row>
    <row r="132" spans="1:8" ht="16.5" customHeight="1" x14ac:dyDescent="0.25">
      <c r="A132" s="17" t="s">
        <v>109</v>
      </c>
      <c r="B132" s="58" t="s">
        <v>36</v>
      </c>
      <c r="C132" s="33">
        <v>80</v>
      </c>
      <c r="D132" s="33">
        <v>0</v>
      </c>
      <c r="E132" s="99">
        <v>0</v>
      </c>
      <c r="F132" s="19">
        <f t="shared" si="10"/>
        <v>80</v>
      </c>
      <c r="G132" s="19">
        <v>0</v>
      </c>
      <c r="H132" s="142">
        <f t="shared" si="11"/>
        <v>80</v>
      </c>
    </row>
    <row r="133" spans="1:8" ht="16.5" customHeight="1" x14ac:dyDescent="0.25">
      <c r="A133" s="17" t="s">
        <v>110</v>
      </c>
      <c r="B133" s="58" t="s">
        <v>36</v>
      </c>
      <c r="C133" s="33">
        <v>1570</v>
      </c>
      <c r="D133" s="33">
        <v>0</v>
      </c>
      <c r="E133" s="99">
        <v>0</v>
      </c>
      <c r="F133" s="19">
        <f t="shared" si="10"/>
        <v>1570</v>
      </c>
      <c r="G133" s="19">
        <v>0</v>
      </c>
      <c r="H133" s="142">
        <f t="shared" si="11"/>
        <v>1570</v>
      </c>
    </row>
    <row r="134" spans="1:8" ht="17.25" customHeight="1" x14ac:dyDescent="0.25">
      <c r="A134" s="17" t="s">
        <v>111</v>
      </c>
      <c r="B134" s="58" t="s">
        <v>36</v>
      </c>
      <c r="C134" s="33">
        <v>1570</v>
      </c>
      <c r="D134" s="33">
        <v>0</v>
      </c>
      <c r="E134" s="99">
        <v>0</v>
      </c>
      <c r="F134" s="19">
        <f t="shared" si="10"/>
        <v>1570</v>
      </c>
      <c r="G134" s="19">
        <v>0</v>
      </c>
      <c r="H134" s="142">
        <f t="shared" si="11"/>
        <v>1570</v>
      </c>
    </row>
    <row r="135" spans="1:8" ht="15" customHeight="1" x14ac:dyDescent="0.25">
      <c r="A135" s="17" t="s">
        <v>112</v>
      </c>
      <c r="B135" s="58" t="s">
        <v>36</v>
      </c>
      <c r="C135" s="33">
        <v>500</v>
      </c>
      <c r="D135" s="33">
        <v>0</v>
      </c>
      <c r="E135" s="99">
        <v>0</v>
      </c>
      <c r="F135" s="19">
        <f t="shared" si="10"/>
        <v>500</v>
      </c>
      <c r="G135" s="19">
        <v>0</v>
      </c>
      <c r="H135" s="142">
        <f t="shared" si="11"/>
        <v>500</v>
      </c>
    </row>
    <row r="136" spans="1:8" ht="15" customHeight="1" x14ac:dyDescent="0.25">
      <c r="A136" s="59" t="s">
        <v>113</v>
      </c>
      <c r="B136" s="58" t="s">
        <v>114</v>
      </c>
      <c r="C136" s="33">
        <v>250</v>
      </c>
      <c r="D136" s="33">
        <v>0</v>
      </c>
      <c r="E136" s="99">
        <v>0</v>
      </c>
      <c r="F136" s="19">
        <f t="shared" si="10"/>
        <v>250</v>
      </c>
      <c r="G136" s="19">
        <v>0</v>
      </c>
      <c r="H136" s="142">
        <f t="shared" ref="H136:H199" si="12">SUM(F136:G136)</f>
        <v>250</v>
      </c>
    </row>
    <row r="137" spans="1:8" ht="15.75" customHeight="1" x14ac:dyDescent="0.25">
      <c r="A137" s="59" t="s">
        <v>115</v>
      </c>
      <c r="B137" s="58" t="s">
        <v>116</v>
      </c>
      <c r="C137" s="33">
        <v>500</v>
      </c>
      <c r="D137" s="33">
        <v>0</v>
      </c>
      <c r="E137" s="99">
        <v>0</v>
      </c>
      <c r="F137" s="19">
        <f t="shared" si="10"/>
        <v>500</v>
      </c>
      <c r="G137" s="19">
        <v>0</v>
      </c>
      <c r="H137" s="142">
        <f t="shared" si="12"/>
        <v>500</v>
      </c>
    </row>
    <row r="138" spans="1:8" ht="16.5" customHeight="1" x14ac:dyDescent="0.25">
      <c r="A138" s="59" t="s">
        <v>117</v>
      </c>
      <c r="B138" s="58" t="s">
        <v>118</v>
      </c>
      <c r="C138" s="33">
        <v>50</v>
      </c>
      <c r="D138" s="33">
        <v>0</v>
      </c>
      <c r="E138" s="99">
        <v>0</v>
      </c>
      <c r="F138" s="19">
        <f t="shared" si="10"/>
        <v>50</v>
      </c>
      <c r="G138" s="19">
        <v>0</v>
      </c>
      <c r="H138" s="142">
        <f t="shared" si="12"/>
        <v>50</v>
      </c>
    </row>
    <row r="139" spans="1:8" x14ac:dyDescent="0.25">
      <c r="A139" s="59" t="s">
        <v>119</v>
      </c>
      <c r="B139" s="58" t="s">
        <v>116</v>
      </c>
      <c r="C139" s="33">
        <v>1200</v>
      </c>
      <c r="D139" s="33">
        <v>0</v>
      </c>
      <c r="E139" s="99">
        <v>0</v>
      </c>
      <c r="F139" s="19">
        <f t="shared" ref="F139:F143" si="13">SUM(C139:E139)</f>
        <v>1200</v>
      </c>
      <c r="G139" s="19">
        <v>0</v>
      </c>
      <c r="H139" s="142">
        <f t="shared" si="12"/>
        <v>1200</v>
      </c>
    </row>
    <row r="140" spans="1:8" ht="14.25" customHeight="1" x14ac:dyDescent="0.25">
      <c r="A140" s="17" t="s">
        <v>120</v>
      </c>
      <c r="B140" s="58" t="s">
        <v>121</v>
      </c>
      <c r="C140" s="33">
        <v>650</v>
      </c>
      <c r="D140" s="33">
        <v>0</v>
      </c>
      <c r="E140" s="99">
        <v>0</v>
      </c>
      <c r="F140" s="19">
        <f t="shared" si="13"/>
        <v>650</v>
      </c>
      <c r="G140" s="19">
        <v>0</v>
      </c>
      <c r="H140" s="142">
        <f t="shared" si="12"/>
        <v>650</v>
      </c>
    </row>
    <row r="141" spans="1:8" ht="24.75" customHeight="1" x14ac:dyDescent="0.25">
      <c r="A141" s="73" t="s">
        <v>122</v>
      </c>
      <c r="B141" s="58" t="s">
        <v>36</v>
      </c>
      <c r="C141" s="33">
        <v>1570</v>
      </c>
      <c r="D141" s="33">
        <v>0</v>
      </c>
      <c r="E141" s="99">
        <v>0</v>
      </c>
      <c r="F141" s="19">
        <f t="shared" si="13"/>
        <v>1570</v>
      </c>
      <c r="G141" s="19">
        <v>0</v>
      </c>
      <c r="H141" s="142">
        <f t="shared" si="12"/>
        <v>1570</v>
      </c>
    </row>
    <row r="142" spans="1:8" ht="17.25" customHeight="1" x14ac:dyDescent="0.25">
      <c r="A142" s="73" t="s">
        <v>123</v>
      </c>
      <c r="B142" s="58" t="s">
        <v>36</v>
      </c>
      <c r="C142" s="33">
        <v>1570</v>
      </c>
      <c r="D142" s="33">
        <v>0</v>
      </c>
      <c r="E142" s="99">
        <v>0</v>
      </c>
      <c r="F142" s="19">
        <f t="shared" si="13"/>
        <v>1570</v>
      </c>
      <c r="G142" s="19">
        <v>0</v>
      </c>
      <c r="H142" s="142">
        <f t="shared" si="12"/>
        <v>1570</v>
      </c>
    </row>
    <row r="143" spans="1:8" ht="15.75" customHeight="1" x14ac:dyDescent="0.25">
      <c r="A143" s="59" t="s">
        <v>124</v>
      </c>
      <c r="B143" s="54"/>
      <c r="C143" s="19">
        <v>56026.34</v>
      </c>
      <c r="D143" s="19">
        <f>-130+344.28</f>
        <v>214.27999999999997</v>
      </c>
      <c r="E143" s="99">
        <v>-7658.5</v>
      </c>
      <c r="F143" s="19">
        <f t="shared" si="13"/>
        <v>48582.119999999995</v>
      </c>
      <c r="G143" s="19">
        <f>-100-100</f>
        <v>-200</v>
      </c>
      <c r="H143" s="142">
        <f t="shared" si="12"/>
        <v>48382.119999999995</v>
      </c>
    </row>
    <row r="144" spans="1:8" ht="16.5" customHeight="1" thickBot="1" x14ac:dyDescent="0.3">
      <c r="A144" s="163" t="s">
        <v>125</v>
      </c>
      <c r="B144" s="114"/>
      <c r="C144" s="115">
        <f>SUM(C146:C157)</f>
        <v>325128</v>
      </c>
      <c r="D144" s="115">
        <f>SUM(D146:D157)</f>
        <v>47.550000000000004</v>
      </c>
      <c r="E144" s="116">
        <f>SUM(E146:E157)</f>
        <v>17777.62</v>
      </c>
      <c r="F144" s="115">
        <f>SUM(F146:F157)</f>
        <v>342953.17</v>
      </c>
      <c r="G144" s="115">
        <f>SUM(G146:G157)</f>
        <v>0</v>
      </c>
      <c r="H144" s="152">
        <f>SUM(F144:G144)</f>
        <v>342953.17</v>
      </c>
    </row>
    <row r="145" spans="1:8" ht="12.75" customHeight="1" x14ac:dyDescent="0.25">
      <c r="A145" s="62" t="s">
        <v>27</v>
      </c>
      <c r="B145" s="52"/>
      <c r="C145" s="16"/>
      <c r="D145" s="16"/>
      <c r="E145" s="98"/>
      <c r="F145" s="16"/>
      <c r="G145" s="16"/>
      <c r="H145" s="141"/>
    </row>
    <row r="146" spans="1:8" ht="15" customHeight="1" x14ac:dyDescent="0.25">
      <c r="A146" s="59" t="s">
        <v>30</v>
      </c>
      <c r="B146" s="54"/>
      <c r="C146" s="19">
        <v>71786</v>
      </c>
      <c r="D146" s="19">
        <f>45.24+2.31</f>
        <v>47.550000000000004</v>
      </c>
      <c r="E146" s="99">
        <v>10512</v>
      </c>
      <c r="F146" s="19">
        <f>SUM(C146:E146)</f>
        <v>82345.55</v>
      </c>
      <c r="G146" s="19">
        <v>0</v>
      </c>
      <c r="H146" s="142">
        <f t="shared" si="12"/>
        <v>82345.55</v>
      </c>
    </row>
    <row r="147" spans="1:8" ht="15" customHeight="1" x14ac:dyDescent="0.25">
      <c r="A147" s="59" t="s">
        <v>126</v>
      </c>
      <c r="B147" s="58" t="s">
        <v>36</v>
      </c>
      <c r="C147" s="74">
        <v>132500</v>
      </c>
      <c r="D147" s="74">
        <v>0</v>
      </c>
      <c r="E147" s="99">
        <v>-132500</v>
      </c>
      <c r="F147" s="19">
        <f t="shared" ref="F147:F157" si="14">SUM(C147:E147)</f>
        <v>0</v>
      </c>
      <c r="G147" s="28">
        <v>0</v>
      </c>
      <c r="H147" s="149">
        <f t="shared" si="12"/>
        <v>0</v>
      </c>
    </row>
    <row r="148" spans="1:8" ht="15" customHeight="1" x14ac:dyDescent="0.25">
      <c r="A148" s="59" t="s">
        <v>127</v>
      </c>
      <c r="B148" s="58" t="s">
        <v>36</v>
      </c>
      <c r="C148" s="19">
        <v>25000</v>
      </c>
      <c r="D148" s="19">
        <v>0</v>
      </c>
      <c r="E148" s="99">
        <v>-25000</v>
      </c>
      <c r="F148" s="19">
        <f t="shared" si="14"/>
        <v>0</v>
      </c>
      <c r="G148" s="19">
        <v>0</v>
      </c>
      <c r="H148" s="142">
        <f t="shared" si="12"/>
        <v>0</v>
      </c>
    </row>
    <row r="149" spans="1:8" ht="15" customHeight="1" x14ac:dyDescent="0.25">
      <c r="A149" s="59" t="s">
        <v>274</v>
      </c>
      <c r="B149" s="58" t="s">
        <v>36</v>
      </c>
      <c r="C149" s="19">
        <v>0</v>
      </c>
      <c r="D149" s="19">
        <v>0</v>
      </c>
      <c r="E149" s="99">
        <v>137700</v>
      </c>
      <c r="F149" s="19">
        <f t="shared" si="14"/>
        <v>137700</v>
      </c>
      <c r="G149" s="19">
        <v>0</v>
      </c>
      <c r="H149" s="142">
        <f t="shared" si="12"/>
        <v>137700</v>
      </c>
    </row>
    <row r="150" spans="1:8" ht="15" customHeight="1" x14ac:dyDescent="0.25">
      <c r="A150" s="59" t="s">
        <v>275</v>
      </c>
      <c r="B150" s="58" t="s">
        <v>36</v>
      </c>
      <c r="C150" s="19">
        <v>0</v>
      </c>
      <c r="D150" s="19">
        <v>0</v>
      </c>
      <c r="E150" s="99">
        <v>26165.62</v>
      </c>
      <c r="F150" s="19">
        <f t="shared" si="14"/>
        <v>26165.62</v>
      </c>
      <c r="G150" s="19">
        <v>0</v>
      </c>
      <c r="H150" s="142">
        <f t="shared" si="12"/>
        <v>26165.62</v>
      </c>
    </row>
    <row r="151" spans="1:8" ht="15" customHeight="1" x14ac:dyDescent="0.25">
      <c r="A151" s="59" t="s">
        <v>128</v>
      </c>
      <c r="B151" s="58" t="s">
        <v>36</v>
      </c>
      <c r="C151" s="19">
        <v>228</v>
      </c>
      <c r="D151" s="19">
        <v>0</v>
      </c>
      <c r="E151" s="99">
        <v>0</v>
      </c>
      <c r="F151" s="19">
        <f t="shared" si="14"/>
        <v>228</v>
      </c>
      <c r="G151" s="19">
        <v>0</v>
      </c>
      <c r="H151" s="142">
        <f t="shared" si="12"/>
        <v>228</v>
      </c>
    </row>
    <row r="152" spans="1:8" ht="15" customHeight="1" x14ac:dyDescent="0.25">
      <c r="A152" s="59" t="s">
        <v>129</v>
      </c>
      <c r="B152" s="58" t="s">
        <v>36</v>
      </c>
      <c r="C152" s="19">
        <v>189</v>
      </c>
      <c r="D152" s="19">
        <v>0</v>
      </c>
      <c r="E152" s="99">
        <v>0</v>
      </c>
      <c r="F152" s="19">
        <f t="shared" si="14"/>
        <v>189</v>
      </c>
      <c r="G152" s="19">
        <v>0</v>
      </c>
      <c r="H152" s="142">
        <f t="shared" si="12"/>
        <v>189</v>
      </c>
    </row>
    <row r="153" spans="1:8" ht="15" customHeight="1" x14ac:dyDescent="0.25">
      <c r="A153" s="59" t="s">
        <v>130</v>
      </c>
      <c r="B153" s="58" t="s">
        <v>36</v>
      </c>
      <c r="C153" s="19">
        <v>1047</v>
      </c>
      <c r="D153" s="19">
        <v>0</v>
      </c>
      <c r="E153" s="99">
        <v>0</v>
      </c>
      <c r="F153" s="19">
        <f t="shared" si="14"/>
        <v>1047</v>
      </c>
      <c r="G153" s="19">
        <v>0</v>
      </c>
      <c r="H153" s="142">
        <f t="shared" si="12"/>
        <v>1047</v>
      </c>
    </row>
    <row r="154" spans="1:8" ht="15" customHeight="1" x14ac:dyDescent="0.25">
      <c r="A154" s="59" t="s">
        <v>131</v>
      </c>
      <c r="B154" s="58" t="s">
        <v>36</v>
      </c>
      <c r="C154" s="19">
        <v>277</v>
      </c>
      <c r="D154" s="19">
        <v>0</v>
      </c>
      <c r="E154" s="99">
        <v>0</v>
      </c>
      <c r="F154" s="19">
        <f t="shared" si="14"/>
        <v>277</v>
      </c>
      <c r="G154" s="19">
        <v>0</v>
      </c>
      <c r="H154" s="142">
        <f t="shared" si="12"/>
        <v>277</v>
      </c>
    </row>
    <row r="155" spans="1:8" ht="28.5" customHeight="1" x14ac:dyDescent="0.25">
      <c r="A155" s="17" t="s">
        <v>132</v>
      </c>
      <c r="B155" s="58" t="s">
        <v>36</v>
      </c>
      <c r="C155" s="19">
        <v>150</v>
      </c>
      <c r="D155" s="19">
        <v>0</v>
      </c>
      <c r="E155" s="99">
        <v>0</v>
      </c>
      <c r="F155" s="19">
        <f t="shared" si="14"/>
        <v>150</v>
      </c>
      <c r="G155" s="19">
        <v>0</v>
      </c>
      <c r="H155" s="142">
        <f t="shared" si="12"/>
        <v>150</v>
      </c>
    </row>
    <row r="156" spans="1:8" ht="28.5" customHeight="1" x14ac:dyDescent="0.25">
      <c r="A156" s="17" t="s">
        <v>133</v>
      </c>
      <c r="B156" s="58"/>
      <c r="C156" s="19">
        <v>2450</v>
      </c>
      <c r="D156" s="19">
        <v>0</v>
      </c>
      <c r="E156" s="99">
        <v>0</v>
      </c>
      <c r="F156" s="19">
        <f t="shared" si="14"/>
        <v>2450</v>
      </c>
      <c r="G156" s="19">
        <v>0</v>
      </c>
      <c r="H156" s="142">
        <f t="shared" si="12"/>
        <v>2450</v>
      </c>
    </row>
    <row r="157" spans="1:8" ht="15.75" customHeight="1" thickBot="1" x14ac:dyDescent="0.3">
      <c r="A157" s="20" t="s">
        <v>134</v>
      </c>
      <c r="B157" s="49"/>
      <c r="C157" s="22">
        <v>91501</v>
      </c>
      <c r="D157" s="22">
        <v>0</v>
      </c>
      <c r="E157" s="100">
        <v>900</v>
      </c>
      <c r="F157" s="22">
        <f t="shared" si="14"/>
        <v>92401</v>
      </c>
      <c r="G157" s="22">
        <v>0</v>
      </c>
      <c r="H157" s="143">
        <f t="shared" si="12"/>
        <v>92401</v>
      </c>
    </row>
    <row r="158" spans="1:8" ht="15" customHeight="1" thickBot="1" x14ac:dyDescent="0.3">
      <c r="A158" s="61" t="s">
        <v>135</v>
      </c>
      <c r="B158" s="55"/>
      <c r="C158" s="46">
        <f>SUM(C160:C166)</f>
        <v>152530.56</v>
      </c>
      <c r="D158" s="46">
        <f>SUM(D160:D166)</f>
        <v>81.66</v>
      </c>
      <c r="E158" s="107">
        <f>SUM(E160:E166)</f>
        <v>719</v>
      </c>
      <c r="F158" s="46">
        <f>SUM(F160:F166)</f>
        <v>153331.22</v>
      </c>
      <c r="G158" s="46">
        <f>SUM(G160:G166)</f>
        <v>0</v>
      </c>
      <c r="H158" s="151">
        <f t="shared" si="12"/>
        <v>153331.22</v>
      </c>
    </row>
    <row r="159" spans="1:8" ht="12" customHeight="1" x14ac:dyDescent="0.25">
      <c r="A159" s="62" t="s">
        <v>27</v>
      </c>
      <c r="B159" s="52"/>
      <c r="C159" s="16"/>
      <c r="D159" s="16"/>
      <c r="E159" s="98"/>
      <c r="F159" s="16"/>
      <c r="G159" s="16"/>
      <c r="H159" s="141"/>
    </row>
    <row r="160" spans="1:8" ht="15" customHeight="1" x14ac:dyDescent="0.25">
      <c r="A160" s="59" t="s">
        <v>30</v>
      </c>
      <c r="B160" s="54"/>
      <c r="C160" s="19">
        <v>4590</v>
      </c>
      <c r="D160" s="19">
        <f>90.66</f>
        <v>90.66</v>
      </c>
      <c r="E160" s="99">
        <v>0</v>
      </c>
      <c r="F160" s="19">
        <f>SUM(C160:E160)</f>
        <v>4680.66</v>
      </c>
      <c r="G160" s="19">
        <v>0</v>
      </c>
      <c r="H160" s="142">
        <f t="shared" si="12"/>
        <v>4680.66</v>
      </c>
    </row>
    <row r="161" spans="1:8" ht="27.75" customHeight="1" x14ac:dyDescent="0.25">
      <c r="A161" s="17" t="s">
        <v>136</v>
      </c>
      <c r="B161" s="58" t="s">
        <v>137</v>
      </c>
      <c r="C161" s="19">
        <v>350</v>
      </c>
      <c r="D161" s="19">
        <v>0</v>
      </c>
      <c r="E161" s="99">
        <v>0</v>
      </c>
      <c r="F161" s="19">
        <f t="shared" ref="F161:F166" si="15">SUM(C161:E161)</f>
        <v>350</v>
      </c>
      <c r="G161" s="19">
        <v>0</v>
      </c>
      <c r="H161" s="142">
        <f t="shared" si="12"/>
        <v>350</v>
      </c>
    </row>
    <row r="162" spans="1:8" ht="15" customHeight="1" x14ac:dyDescent="0.25">
      <c r="A162" s="17" t="s">
        <v>138</v>
      </c>
      <c r="B162" s="58" t="s">
        <v>139</v>
      </c>
      <c r="C162" s="19">
        <v>250</v>
      </c>
      <c r="D162" s="19">
        <v>0</v>
      </c>
      <c r="E162" s="99">
        <v>0</v>
      </c>
      <c r="F162" s="19">
        <f t="shared" si="15"/>
        <v>250</v>
      </c>
      <c r="G162" s="19">
        <v>0</v>
      </c>
      <c r="H162" s="142">
        <f t="shared" si="12"/>
        <v>250</v>
      </c>
    </row>
    <row r="163" spans="1:8" ht="15" customHeight="1" x14ac:dyDescent="0.25">
      <c r="A163" s="59" t="s">
        <v>140</v>
      </c>
      <c r="B163" s="75"/>
      <c r="C163" s="19">
        <v>10</v>
      </c>
      <c r="D163" s="19">
        <v>0</v>
      </c>
      <c r="E163" s="99">
        <v>0</v>
      </c>
      <c r="F163" s="19">
        <f t="shared" si="15"/>
        <v>10</v>
      </c>
      <c r="G163" s="19">
        <v>0</v>
      </c>
      <c r="H163" s="142">
        <f t="shared" si="12"/>
        <v>10</v>
      </c>
    </row>
    <row r="164" spans="1:8" ht="15" customHeight="1" x14ac:dyDescent="0.25">
      <c r="A164" s="59" t="s">
        <v>141</v>
      </c>
      <c r="B164" s="76" t="s">
        <v>45</v>
      </c>
      <c r="C164" s="19">
        <v>180</v>
      </c>
      <c r="D164" s="19">
        <v>0</v>
      </c>
      <c r="E164" s="99">
        <v>0</v>
      </c>
      <c r="F164" s="19">
        <f t="shared" si="15"/>
        <v>180</v>
      </c>
      <c r="G164" s="19">
        <v>0</v>
      </c>
      <c r="H164" s="142">
        <f t="shared" si="12"/>
        <v>180</v>
      </c>
    </row>
    <row r="165" spans="1:8" ht="15" customHeight="1" x14ac:dyDescent="0.25">
      <c r="A165" s="59" t="s">
        <v>142</v>
      </c>
      <c r="B165" s="76" t="s">
        <v>45</v>
      </c>
      <c r="C165" s="19">
        <v>810</v>
      </c>
      <c r="D165" s="19">
        <v>0</v>
      </c>
      <c r="E165" s="99">
        <v>0</v>
      </c>
      <c r="F165" s="19">
        <f t="shared" si="15"/>
        <v>810</v>
      </c>
      <c r="G165" s="19">
        <v>0</v>
      </c>
      <c r="H165" s="142">
        <f t="shared" si="12"/>
        <v>810</v>
      </c>
    </row>
    <row r="166" spans="1:8" ht="17.25" customHeight="1" thickBot="1" x14ac:dyDescent="0.3">
      <c r="A166" s="20" t="s">
        <v>143</v>
      </c>
      <c r="B166" s="77"/>
      <c r="C166" s="22">
        <v>146340.56</v>
      </c>
      <c r="D166" s="22">
        <f>-9</f>
        <v>-9</v>
      </c>
      <c r="E166" s="100">
        <v>719</v>
      </c>
      <c r="F166" s="22">
        <f t="shared" si="15"/>
        <v>147050.56</v>
      </c>
      <c r="G166" s="22">
        <v>0</v>
      </c>
      <c r="H166" s="143">
        <f t="shared" si="12"/>
        <v>147050.56</v>
      </c>
    </row>
    <row r="167" spans="1:8" ht="16.5" customHeight="1" thickBot="1" x14ac:dyDescent="0.3">
      <c r="A167" s="61" t="s">
        <v>144</v>
      </c>
      <c r="B167" s="55"/>
      <c r="C167" s="46">
        <f>SUM(C169:C202)</f>
        <v>112053</v>
      </c>
      <c r="D167" s="46">
        <f>SUM(D169:D202)</f>
        <v>0</v>
      </c>
      <c r="E167" s="107">
        <f>SUM(E169:E202)</f>
        <v>6135</v>
      </c>
      <c r="F167" s="46">
        <f>SUM(F169:F202)</f>
        <v>118188</v>
      </c>
      <c r="G167" s="46">
        <f>SUM(G169:G202)</f>
        <v>0</v>
      </c>
      <c r="H167" s="151">
        <f t="shared" si="12"/>
        <v>118188</v>
      </c>
    </row>
    <row r="168" spans="1:8" ht="15.75" customHeight="1" x14ac:dyDescent="0.25">
      <c r="A168" s="62" t="s">
        <v>27</v>
      </c>
      <c r="B168" s="52"/>
      <c r="C168" s="16"/>
      <c r="D168" s="16"/>
      <c r="E168" s="98"/>
      <c r="F168" s="16"/>
      <c r="G168" s="16"/>
      <c r="H168" s="141"/>
    </row>
    <row r="169" spans="1:8" ht="15" customHeight="1" x14ac:dyDescent="0.25">
      <c r="A169" s="17" t="s">
        <v>145</v>
      </c>
      <c r="B169" s="54" t="s">
        <v>146</v>
      </c>
      <c r="C169" s="34">
        <v>850</v>
      </c>
      <c r="D169" s="34">
        <v>0</v>
      </c>
      <c r="E169" s="99">
        <v>0</v>
      </c>
      <c r="F169" s="19">
        <f>SUM(C169:E169)</f>
        <v>850</v>
      </c>
      <c r="G169" s="19">
        <v>0</v>
      </c>
      <c r="H169" s="142">
        <f t="shared" si="12"/>
        <v>850</v>
      </c>
    </row>
    <row r="170" spans="1:8" ht="16.5" customHeight="1" x14ac:dyDescent="0.25">
      <c r="A170" s="17" t="s">
        <v>147</v>
      </c>
      <c r="B170" s="58" t="s">
        <v>148</v>
      </c>
      <c r="C170" s="19">
        <v>17000</v>
      </c>
      <c r="D170" s="19">
        <v>0</v>
      </c>
      <c r="E170" s="99">
        <v>0</v>
      </c>
      <c r="F170" s="19">
        <f t="shared" ref="F170:F202" si="16">SUM(C170:E170)</f>
        <v>17000</v>
      </c>
      <c r="G170" s="22">
        <v>0</v>
      </c>
      <c r="H170" s="149">
        <f t="shared" si="12"/>
        <v>17000</v>
      </c>
    </row>
    <row r="171" spans="1:8" ht="23.25" customHeight="1" x14ac:dyDescent="0.25">
      <c r="A171" s="17" t="s">
        <v>149</v>
      </c>
      <c r="B171" s="58" t="s">
        <v>150</v>
      </c>
      <c r="C171" s="19">
        <v>1000</v>
      </c>
      <c r="D171" s="19">
        <v>0</v>
      </c>
      <c r="E171" s="99">
        <v>0</v>
      </c>
      <c r="F171" s="19">
        <f t="shared" si="16"/>
        <v>1000</v>
      </c>
      <c r="G171" s="19">
        <v>0</v>
      </c>
      <c r="H171" s="142">
        <f t="shared" si="12"/>
        <v>1000</v>
      </c>
    </row>
    <row r="172" spans="1:8" ht="27" customHeight="1" x14ac:dyDescent="0.25">
      <c r="A172" s="17" t="s">
        <v>151</v>
      </c>
      <c r="B172" s="58" t="s">
        <v>152</v>
      </c>
      <c r="C172" s="19">
        <v>1600</v>
      </c>
      <c r="D172" s="19">
        <v>0</v>
      </c>
      <c r="E172" s="99">
        <v>0</v>
      </c>
      <c r="F172" s="19">
        <f t="shared" si="16"/>
        <v>1600</v>
      </c>
      <c r="G172" s="19">
        <v>0</v>
      </c>
      <c r="H172" s="142">
        <f t="shared" si="12"/>
        <v>1600</v>
      </c>
    </row>
    <row r="173" spans="1:8" ht="40.5" customHeight="1" x14ac:dyDescent="0.25">
      <c r="A173" s="17" t="s">
        <v>153</v>
      </c>
      <c r="B173" s="58" t="s">
        <v>36</v>
      </c>
      <c r="C173" s="33">
        <v>11900</v>
      </c>
      <c r="D173" s="33">
        <v>0</v>
      </c>
      <c r="E173" s="99">
        <v>0</v>
      </c>
      <c r="F173" s="19">
        <f t="shared" si="16"/>
        <v>11900</v>
      </c>
      <c r="G173" s="19">
        <v>0</v>
      </c>
      <c r="H173" s="142">
        <f t="shared" si="12"/>
        <v>11900</v>
      </c>
    </row>
    <row r="174" spans="1:8" ht="15" customHeight="1" x14ac:dyDescent="0.25">
      <c r="A174" s="59" t="s">
        <v>154</v>
      </c>
      <c r="B174" s="58" t="s">
        <v>36</v>
      </c>
      <c r="C174" s="33">
        <v>6620</v>
      </c>
      <c r="D174" s="33">
        <v>0</v>
      </c>
      <c r="E174" s="99">
        <v>0</v>
      </c>
      <c r="F174" s="19">
        <f t="shared" si="16"/>
        <v>6620</v>
      </c>
      <c r="G174" s="19">
        <v>0</v>
      </c>
      <c r="H174" s="142">
        <f t="shared" si="12"/>
        <v>6620</v>
      </c>
    </row>
    <row r="175" spans="1:8" ht="42" customHeight="1" x14ac:dyDescent="0.25">
      <c r="A175" s="17" t="s">
        <v>155</v>
      </c>
      <c r="B175" s="58" t="s">
        <v>36</v>
      </c>
      <c r="C175" s="33">
        <v>18705</v>
      </c>
      <c r="D175" s="33">
        <v>0</v>
      </c>
      <c r="E175" s="99">
        <v>0</v>
      </c>
      <c r="F175" s="19">
        <f t="shared" si="16"/>
        <v>18705</v>
      </c>
      <c r="G175" s="19">
        <v>0</v>
      </c>
      <c r="H175" s="142">
        <f t="shared" si="12"/>
        <v>18705</v>
      </c>
    </row>
    <row r="176" spans="1:8" ht="52.5" customHeight="1" x14ac:dyDescent="0.25">
      <c r="A176" s="17" t="s">
        <v>156</v>
      </c>
      <c r="B176" s="58" t="s">
        <v>36</v>
      </c>
      <c r="C176" s="33">
        <v>14028</v>
      </c>
      <c r="D176" s="33">
        <v>0</v>
      </c>
      <c r="E176" s="99">
        <v>0</v>
      </c>
      <c r="F176" s="19">
        <f t="shared" si="16"/>
        <v>14028</v>
      </c>
      <c r="G176" s="19">
        <v>0</v>
      </c>
      <c r="H176" s="142">
        <f t="shared" si="12"/>
        <v>14028</v>
      </c>
    </row>
    <row r="177" spans="1:8" ht="40.5" customHeight="1" x14ac:dyDescent="0.25">
      <c r="A177" s="17" t="s">
        <v>157</v>
      </c>
      <c r="B177" s="58" t="s">
        <v>36</v>
      </c>
      <c r="C177" s="33">
        <v>12000</v>
      </c>
      <c r="D177" s="33">
        <v>0</v>
      </c>
      <c r="E177" s="99">
        <v>0</v>
      </c>
      <c r="F177" s="19">
        <f t="shared" si="16"/>
        <v>12000</v>
      </c>
      <c r="G177" s="19">
        <v>0</v>
      </c>
      <c r="H177" s="142">
        <f t="shared" si="12"/>
        <v>12000</v>
      </c>
    </row>
    <row r="178" spans="1:8" ht="54" customHeight="1" x14ac:dyDescent="0.25">
      <c r="A178" s="17" t="s">
        <v>158</v>
      </c>
      <c r="B178" s="58" t="s">
        <v>36</v>
      </c>
      <c r="C178" s="33">
        <v>11200</v>
      </c>
      <c r="D178" s="33">
        <v>0</v>
      </c>
      <c r="E178" s="99">
        <v>0</v>
      </c>
      <c r="F178" s="19">
        <f t="shared" si="16"/>
        <v>11200</v>
      </c>
      <c r="G178" s="19">
        <v>0</v>
      </c>
      <c r="H178" s="142">
        <f t="shared" si="12"/>
        <v>11200</v>
      </c>
    </row>
    <row r="179" spans="1:8" ht="16.5" customHeight="1" x14ac:dyDescent="0.25">
      <c r="A179" s="17" t="s">
        <v>313</v>
      </c>
      <c r="B179" s="58" t="s">
        <v>264</v>
      </c>
      <c r="C179" s="33">
        <v>0</v>
      </c>
      <c r="D179" s="33">
        <f>20</f>
        <v>20</v>
      </c>
      <c r="E179" s="99">
        <v>0</v>
      </c>
      <c r="F179" s="19">
        <f>SUM(C179:E179)</f>
        <v>20</v>
      </c>
      <c r="G179" s="19">
        <v>0</v>
      </c>
      <c r="H179" s="142">
        <f t="shared" si="12"/>
        <v>20</v>
      </c>
    </row>
    <row r="180" spans="1:8" ht="15" customHeight="1" x14ac:dyDescent="0.25">
      <c r="A180" s="17" t="s">
        <v>159</v>
      </c>
      <c r="B180" s="58"/>
      <c r="C180" s="33">
        <v>4.5</v>
      </c>
      <c r="D180" s="33">
        <v>0</v>
      </c>
      <c r="E180" s="99">
        <v>0</v>
      </c>
      <c r="F180" s="19">
        <f t="shared" si="16"/>
        <v>4.5</v>
      </c>
      <c r="G180" s="19">
        <v>0</v>
      </c>
      <c r="H180" s="142">
        <f t="shared" si="12"/>
        <v>4.5</v>
      </c>
    </row>
    <row r="181" spans="1:8" ht="15" customHeight="1" x14ac:dyDescent="0.25">
      <c r="A181" s="17" t="s">
        <v>160</v>
      </c>
      <c r="B181" s="58" t="s">
        <v>121</v>
      </c>
      <c r="C181" s="33">
        <v>20</v>
      </c>
      <c r="D181" s="33">
        <v>0</v>
      </c>
      <c r="E181" s="99">
        <v>0</v>
      </c>
      <c r="F181" s="19">
        <f t="shared" si="16"/>
        <v>20</v>
      </c>
      <c r="G181" s="19">
        <v>0</v>
      </c>
      <c r="H181" s="142">
        <f t="shared" si="12"/>
        <v>20</v>
      </c>
    </row>
    <row r="182" spans="1:8" ht="15" customHeight="1" x14ac:dyDescent="0.25">
      <c r="A182" s="17" t="s">
        <v>161</v>
      </c>
      <c r="B182" s="58" t="s">
        <v>121</v>
      </c>
      <c r="C182" s="33">
        <v>10</v>
      </c>
      <c r="D182" s="33">
        <v>0</v>
      </c>
      <c r="E182" s="99">
        <v>0</v>
      </c>
      <c r="F182" s="19">
        <f t="shared" si="16"/>
        <v>10</v>
      </c>
      <c r="G182" s="19">
        <v>0</v>
      </c>
      <c r="H182" s="142">
        <f t="shared" si="12"/>
        <v>10</v>
      </c>
    </row>
    <row r="183" spans="1:8" ht="15" customHeight="1" x14ac:dyDescent="0.25">
      <c r="A183" s="59" t="s">
        <v>162</v>
      </c>
      <c r="B183" s="58" t="s">
        <v>121</v>
      </c>
      <c r="C183" s="33">
        <v>70</v>
      </c>
      <c r="D183" s="33">
        <v>0</v>
      </c>
      <c r="E183" s="99">
        <v>0</v>
      </c>
      <c r="F183" s="19">
        <f t="shared" si="16"/>
        <v>70</v>
      </c>
      <c r="G183" s="19">
        <v>0</v>
      </c>
      <c r="H183" s="142">
        <f t="shared" si="12"/>
        <v>70</v>
      </c>
    </row>
    <row r="184" spans="1:8" ht="15" customHeight="1" x14ac:dyDescent="0.25">
      <c r="A184" s="59" t="s">
        <v>163</v>
      </c>
      <c r="B184" s="58" t="s">
        <v>36</v>
      </c>
      <c r="C184" s="33">
        <v>1050</v>
      </c>
      <c r="D184" s="33">
        <v>0</v>
      </c>
      <c r="E184" s="99">
        <v>0</v>
      </c>
      <c r="F184" s="19">
        <f t="shared" si="16"/>
        <v>1050</v>
      </c>
      <c r="G184" s="28">
        <v>0</v>
      </c>
      <c r="H184" s="149">
        <f t="shared" si="12"/>
        <v>1050</v>
      </c>
    </row>
    <row r="185" spans="1:8" ht="15" customHeight="1" x14ac:dyDescent="0.25">
      <c r="A185" s="59" t="s">
        <v>164</v>
      </c>
      <c r="B185" s="58" t="s">
        <v>36</v>
      </c>
      <c r="C185" s="33">
        <v>4000</v>
      </c>
      <c r="D185" s="33">
        <v>0</v>
      </c>
      <c r="E185" s="99">
        <v>0</v>
      </c>
      <c r="F185" s="19">
        <f t="shared" si="16"/>
        <v>4000</v>
      </c>
      <c r="G185" s="19">
        <v>0</v>
      </c>
      <c r="H185" s="142">
        <f t="shared" si="12"/>
        <v>4000</v>
      </c>
    </row>
    <row r="186" spans="1:8" ht="15" customHeight="1" x14ac:dyDescent="0.25">
      <c r="A186" s="59" t="s">
        <v>165</v>
      </c>
      <c r="B186" s="58" t="s">
        <v>121</v>
      </c>
      <c r="C186" s="33">
        <v>80</v>
      </c>
      <c r="D186" s="33">
        <v>0</v>
      </c>
      <c r="E186" s="99">
        <v>0</v>
      </c>
      <c r="F186" s="19">
        <f t="shared" si="16"/>
        <v>80</v>
      </c>
      <c r="G186" s="19">
        <v>0</v>
      </c>
      <c r="H186" s="142">
        <f t="shared" si="12"/>
        <v>80</v>
      </c>
    </row>
    <row r="187" spans="1:8" ht="15" customHeight="1" x14ac:dyDescent="0.25">
      <c r="A187" s="59" t="s">
        <v>166</v>
      </c>
      <c r="B187" s="58" t="s">
        <v>36</v>
      </c>
      <c r="C187" s="33">
        <v>50</v>
      </c>
      <c r="D187" s="33">
        <v>0</v>
      </c>
      <c r="E187" s="99">
        <v>0</v>
      </c>
      <c r="F187" s="19">
        <f t="shared" si="16"/>
        <v>50</v>
      </c>
      <c r="G187" s="19">
        <v>0</v>
      </c>
      <c r="H187" s="142">
        <f t="shared" si="12"/>
        <v>50</v>
      </c>
    </row>
    <row r="188" spans="1:8" ht="15" customHeight="1" x14ac:dyDescent="0.25">
      <c r="A188" s="59" t="s">
        <v>167</v>
      </c>
      <c r="B188" s="58" t="s">
        <v>36</v>
      </c>
      <c r="C188" s="33">
        <v>100</v>
      </c>
      <c r="D188" s="33">
        <v>0</v>
      </c>
      <c r="E188" s="99">
        <v>0</v>
      </c>
      <c r="F188" s="19">
        <f t="shared" si="16"/>
        <v>100</v>
      </c>
      <c r="G188" s="19">
        <v>0</v>
      </c>
      <c r="H188" s="142">
        <f t="shared" si="12"/>
        <v>100</v>
      </c>
    </row>
    <row r="189" spans="1:8" ht="15" customHeight="1" x14ac:dyDescent="0.25">
      <c r="A189" s="59" t="s">
        <v>168</v>
      </c>
      <c r="B189" s="58" t="s">
        <v>36</v>
      </c>
      <c r="C189" s="33">
        <v>650</v>
      </c>
      <c r="D189" s="33">
        <v>0</v>
      </c>
      <c r="E189" s="99">
        <v>0</v>
      </c>
      <c r="F189" s="19">
        <f t="shared" si="16"/>
        <v>650</v>
      </c>
      <c r="G189" s="19">
        <v>0</v>
      </c>
      <c r="H189" s="142">
        <f t="shared" si="12"/>
        <v>650</v>
      </c>
    </row>
    <row r="190" spans="1:8" ht="15" customHeight="1" x14ac:dyDescent="0.25">
      <c r="A190" s="73" t="s">
        <v>169</v>
      </c>
      <c r="B190" s="58" t="s">
        <v>121</v>
      </c>
      <c r="C190" s="33">
        <v>40</v>
      </c>
      <c r="D190" s="33">
        <v>0</v>
      </c>
      <c r="E190" s="99">
        <v>0</v>
      </c>
      <c r="F190" s="19">
        <f t="shared" si="16"/>
        <v>40</v>
      </c>
      <c r="G190" s="19">
        <v>0</v>
      </c>
      <c r="H190" s="142">
        <f t="shared" si="12"/>
        <v>40</v>
      </c>
    </row>
    <row r="191" spans="1:8" ht="15" customHeight="1" x14ac:dyDescent="0.25">
      <c r="A191" s="17" t="s">
        <v>170</v>
      </c>
      <c r="B191" s="58" t="s">
        <v>121</v>
      </c>
      <c r="C191" s="33">
        <v>20</v>
      </c>
      <c r="D191" s="33">
        <v>0</v>
      </c>
      <c r="E191" s="99">
        <v>0</v>
      </c>
      <c r="F191" s="19">
        <f t="shared" si="16"/>
        <v>20</v>
      </c>
      <c r="G191" s="19">
        <v>0</v>
      </c>
      <c r="H191" s="142">
        <f t="shared" si="12"/>
        <v>20</v>
      </c>
    </row>
    <row r="192" spans="1:8" ht="41.25" customHeight="1" x14ac:dyDescent="0.25">
      <c r="A192" s="73" t="s">
        <v>171</v>
      </c>
      <c r="B192" s="58" t="s">
        <v>114</v>
      </c>
      <c r="C192" s="33">
        <v>22</v>
      </c>
      <c r="D192" s="33">
        <v>0</v>
      </c>
      <c r="E192" s="99">
        <v>0</v>
      </c>
      <c r="F192" s="19">
        <f t="shared" si="16"/>
        <v>22</v>
      </c>
      <c r="G192" s="19">
        <v>0</v>
      </c>
      <c r="H192" s="142">
        <f t="shared" si="12"/>
        <v>22</v>
      </c>
    </row>
    <row r="193" spans="1:8" ht="15" customHeight="1" x14ac:dyDescent="0.25">
      <c r="A193" s="73" t="s">
        <v>172</v>
      </c>
      <c r="B193" s="58" t="s">
        <v>121</v>
      </c>
      <c r="C193" s="33">
        <v>10</v>
      </c>
      <c r="D193" s="33">
        <v>0</v>
      </c>
      <c r="E193" s="99">
        <v>0</v>
      </c>
      <c r="F193" s="19">
        <f t="shared" si="16"/>
        <v>10</v>
      </c>
      <c r="G193" s="19">
        <v>0</v>
      </c>
      <c r="H193" s="142">
        <f t="shared" si="12"/>
        <v>10</v>
      </c>
    </row>
    <row r="194" spans="1:8" ht="15" customHeight="1" x14ac:dyDescent="0.25">
      <c r="A194" s="73" t="s">
        <v>173</v>
      </c>
      <c r="B194" s="58" t="s">
        <v>36</v>
      </c>
      <c r="C194" s="33">
        <v>50</v>
      </c>
      <c r="D194" s="33">
        <v>0</v>
      </c>
      <c r="E194" s="99">
        <v>0</v>
      </c>
      <c r="F194" s="19">
        <f t="shared" si="16"/>
        <v>50</v>
      </c>
      <c r="G194" s="19">
        <v>0</v>
      </c>
      <c r="H194" s="142">
        <f t="shared" si="12"/>
        <v>50</v>
      </c>
    </row>
    <row r="195" spans="1:8" ht="15.75" customHeight="1" x14ac:dyDescent="0.25">
      <c r="A195" s="17" t="s">
        <v>174</v>
      </c>
      <c r="B195" s="58" t="s">
        <v>36</v>
      </c>
      <c r="C195" s="33">
        <v>668</v>
      </c>
      <c r="D195" s="33">
        <v>0</v>
      </c>
      <c r="E195" s="99">
        <v>0</v>
      </c>
      <c r="F195" s="19">
        <f t="shared" si="16"/>
        <v>668</v>
      </c>
      <c r="G195" s="19">
        <v>0</v>
      </c>
      <c r="H195" s="142">
        <f t="shared" si="12"/>
        <v>668</v>
      </c>
    </row>
    <row r="196" spans="1:8" ht="15" customHeight="1" x14ac:dyDescent="0.25">
      <c r="A196" s="17" t="s">
        <v>175</v>
      </c>
      <c r="B196" s="58" t="s">
        <v>36</v>
      </c>
      <c r="C196" s="33">
        <v>526</v>
      </c>
      <c r="D196" s="33">
        <v>0</v>
      </c>
      <c r="E196" s="99">
        <v>0</v>
      </c>
      <c r="F196" s="19">
        <f t="shared" si="16"/>
        <v>526</v>
      </c>
      <c r="G196" s="19">
        <v>0</v>
      </c>
      <c r="H196" s="142">
        <f t="shared" si="12"/>
        <v>526</v>
      </c>
    </row>
    <row r="197" spans="1:8" ht="15" customHeight="1" x14ac:dyDescent="0.25">
      <c r="A197" s="17" t="s">
        <v>176</v>
      </c>
      <c r="B197" s="58" t="s">
        <v>36</v>
      </c>
      <c r="C197" s="33">
        <v>110</v>
      </c>
      <c r="D197" s="33">
        <v>0</v>
      </c>
      <c r="E197" s="99">
        <v>0</v>
      </c>
      <c r="F197" s="19">
        <f t="shared" si="16"/>
        <v>110</v>
      </c>
      <c r="G197" s="19">
        <v>0</v>
      </c>
      <c r="H197" s="142">
        <f t="shared" si="12"/>
        <v>110</v>
      </c>
    </row>
    <row r="198" spans="1:8" ht="15" customHeight="1" x14ac:dyDescent="0.25">
      <c r="A198" s="17" t="s">
        <v>177</v>
      </c>
      <c r="B198" s="58" t="s">
        <v>36</v>
      </c>
      <c r="C198" s="33">
        <v>476</v>
      </c>
      <c r="D198" s="33">
        <v>0</v>
      </c>
      <c r="E198" s="99">
        <v>0</v>
      </c>
      <c r="F198" s="19">
        <f t="shared" si="16"/>
        <v>476</v>
      </c>
      <c r="G198" s="19">
        <v>0</v>
      </c>
      <c r="H198" s="142">
        <f t="shared" si="12"/>
        <v>476</v>
      </c>
    </row>
    <row r="199" spans="1:8" ht="15" customHeight="1" x14ac:dyDescent="0.25">
      <c r="A199" s="17" t="s">
        <v>178</v>
      </c>
      <c r="B199" s="58" t="s">
        <v>36</v>
      </c>
      <c r="C199" s="33">
        <v>100</v>
      </c>
      <c r="D199" s="33">
        <v>0</v>
      </c>
      <c r="E199" s="99">
        <v>0</v>
      </c>
      <c r="F199" s="19">
        <f t="shared" si="16"/>
        <v>100</v>
      </c>
      <c r="G199" s="19">
        <v>0</v>
      </c>
      <c r="H199" s="142">
        <f t="shared" si="12"/>
        <v>100</v>
      </c>
    </row>
    <row r="200" spans="1:8" ht="13.5" customHeight="1" x14ac:dyDescent="0.25">
      <c r="A200" s="35" t="s">
        <v>179</v>
      </c>
      <c r="B200" s="58" t="s">
        <v>36</v>
      </c>
      <c r="C200" s="33">
        <v>200</v>
      </c>
      <c r="D200" s="33">
        <v>0</v>
      </c>
      <c r="E200" s="99">
        <v>0</v>
      </c>
      <c r="F200" s="19">
        <f t="shared" si="16"/>
        <v>200</v>
      </c>
      <c r="G200" s="19">
        <v>0</v>
      </c>
      <c r="H200" s="142">
        <f t="shared" ref="H200:H263" si="17">SUM(F200:G200)</f>
        <v>200</v>
      </c>
    </row>
    <row r="201" spans="1:8" ht="15" customHeight="1" x14ac:dyDescent="0.25">
      <c r="A201" s="17" t="s">
        <v>180</v>
      </c>
      <c r="B201" s="58" t="s">
        <v>36</v>
      </c>
      <c r="C201" s="33">
        <v>100</v>
      </c>
      <c r="D201" s="33">
        <v>0</v>
      </c>
      <c r="E201" s="99">
        <v>0</v>
      </c>
      <c r="F201" s="19">
        <f t="shared" si="16"/>
        <v>100</v>
      </c>
      <c r="G201" s="19">
        <v>0</v>
      </c>
      <c r="H201" s="142">
        <f t="shared" si="17"/>
        <v>100</v>
      </c>
    </row>
    <row r="202" spans="1:8" ht="18.75" customHeight="1" thickBot="1" x14ac:dyDescent="0.3">
      <c r="A202" s="60" t="s">
        <v>181</v>
      </c>
      <c r="B202" s="124"/>
      <c r="C202" s="78">
        <v>8793.5</v>
      </c>
      <c r="D202" s="78">
        <f>-20</f>
        <v>-20</v>
      </c>
      <c r="E202" s="100">
        <v>6135</v>
      </c>
      <c r="F202" s="22">
        <f t="shared" si="16"/>
        <v>14908.5</v>
      </c>
      <c r="G202" s="22">
        <v>0</v>
      </c>
      <c r="H202" s="143">
        <f t="shared" si="17"/>
        <v>14908.5</v>
      </c>
    </row>
    <row r="203" spans="1:8" ht="16.5" customHeight="1" thickBot="1" x14ac:dyDescent="0.3">
      <c r="A203" s="61" t="s">
        <v>182</v>
      </c>
      <c r="B203" s="55"/>
      <c r="C203" s="46">
        <f>SUM(C205:C205)</f>
        <v>300</v>
      </c>
      <c r="D203" s="46">
        <f>SUM(D205)</f>
        <v>4619</v>
      </c>
      <c r="E203" s="107">
        <f>SUM(E205)</f>
        <v>486</v>
      </c>
      <c r="F203" s="46">
        <f>SUM(F205)</f>
        <v>5405</v>
      </c>
      <c r="G203" s="46">
        <f>SUM(G205)</f>
        <v>-655</v>
      </c>
      <c r="H203" s="151">
        <f t="shared" si="17"/>
        <v>4750</v>
      </c>
    </row>
    <row r="204" spans="1:8" ht="12.75" customHeight="1" x14ac:dyDescent="0.25">
      <c r="A204" s="62" t="s">
        <v>27</v>
      </c>
      <c r="B204" s="52"/>
      <c r="C204" s="32"/>
      <c r="D204" s="32"/>
      <c r="E204" s="98"/>
      <c r="F204" s="16"/>
      <c r="G204" s="16"/>
      <c r="H204" s="141"/>
    </row>
    <row r="205" spans="1:8" ht="15.75" customHeight="1" x14ac:dyDescent="0.25">
      <c r="A205" s="59" t="s">
        <v>183</v>
      </c>
      <c r="B205" s="54"/>
      <c r="C205" s="33">
        <v>300</v>
      </c>
      <c r="D205" s="33">
        <f>3559+992+68</f>
        <v>4619</v>
      </c>
      <c r="E205" s="99">
        <v>486</v>
      </c>
      <c r="F205" s="19">
        <f>SUM(C205:E205)</f>
        <v>5405</v>
      </c>
      <c r="G205" s="19">
        <f>-655</f>
        <v>-655</v>
      </c>
      <c r="H205" s="142">
        <f t="shared" si="17"/>
        <v>4750</v>
      </c>
    </row>
    <row r="206" spans="1:8" ht="15" customHeight="1" thickBot="1" x14ac:dyDescent="0.3">
      <c r="A206" s="163" t="s">
        <v>184</v>
      </c>
      <c r="B206" s="114"/>
      <c r="C206" s="115">
        <f>SUM(C208:C223)</f>
        <v>18536.239999999998</v>
      </c>
      <c r="D206" s="115">
        <f>SUM(D208:D223)</f>
        <v>408.98</v>
      </c>
      <c r="E206" s="116">
        <f>SUM(E208:E223)</f>
        <v>0</v>
      </c>
      <c r="F206" s="115">
        <f>SUM(F208:F223)</f>
        <v>18945.22</v>
      </c>
      <c r="G206" s="115">
        <f>SUM(G208:G223)</f>
        <v>0</v>
      </c>
      <c r="H206" s="152">
        <f t="shared" si="17"/>
        <v>18945.22</v>
      </c>
    </row>
    <row r="207" spans="1:8" ht="12.75" customHeight="1" x14ac:dyDescent="0.25">
      <c r="A207" s="62" t="s">
        <v>27</v>
      </c>
      <c r="B207" s="52"/>
      <c r="C207" s="32"/>
      <c r="D207" s="32"/>
      <c r="E207" s="98"/>
      <c r="F207" s="16"/>
      <c r="G207" s="16"/>
      <c r="H207" s="141"/>
    </row>
    <row r="208" spans="1:8" ht="26.25" customHeight="1" x14ac:dyDescent="0.25">
      <c r="A208" s="17" t="s">
        <v>185</v>
      </c>
      <c r="B208" s="58" t="s">
        <v>186</v>
      </c>
      <c r="C208" s="33">
        <v>860</v>
      </c>
      <c r="D208" s="33">
        <v>0</v>
      </c>
      <c r="E208" s="99">
        <v>-398</v>
      </c>
      <c r="F208" s="19">
        <f>SUM(C208:E208)</f>
        <v>462</v>
      </c>
      <c r="G208" s="22">
        <v>0</v>
      </c>
      <c r="H208" s="149">
        <f t="shared" si="17"/>
        <v>462</v>
      </c>
    </row>
    <row r="209" spans="1:8" ht="16.5" customHeight="1" x14ac:dyDescent="0.25">
      <c r="A209" s="17" t="s">
        <v>187</v>
      </c>
      <c r="B209" s="58" t="s">
        <v>188</v>
      </c>
      <c r="C209" s="33">
        <v>400</v>
      </c>
      <c r="D209" s="33">
        <v>0</v>
      </c>
      <c r="E209" s="99">
        <v>398</v>
      </c>
      <c r="F209" s="19">
        <f t="shared" ref="F209:F223" si="18">SUM(C209:E209)</f>
        <v>798</v>
      </c>
      <c r="G209" s="19">
        <v>0</v>
      </c>
      <c r="H209" s="142">
        <f t="shared" si="17"/>
        <v>798</v>
      </c>
    </row>
    <row r="210" spans="1:8" ht="26.25" customHeight="1" x14ac:dyDescent="0.25">
      <c r="A210" s="17" t="s">
        <v>189</v>
      </c>
      <c r="B210" s="58" t="s">
        <v>190</v>
      </c>
      <c r="C210" s="33">
        <v>300</v>
      </c>
      <c r="D210" s="33">
        <v>0</v>
      </c>
      <c r="E210" s="99">
        <v>0</v>
      </c>
      <c r="F210" s="19">
        <f t="shared" si="18"/>
        <v>300</v>
      </c>
      <c r="G210" s="19">
        <v>0</v>
      </c>
      <c r="H210" s="142">
        <f t="shared" si="17"/>
        <v>300</v>
      </c>
    </row>
    <row r="211" spans="1:8" ht="15" customHeight="1" x14ac:dyDescent="0.25">
      <c r="A211" s="17" t="s">
        <v>191</v>
      </c>
      <c r="B211" s="58" t="s">
        <v>36</v>
      </c>
      <c r="C211" s="33">
        <v>7502</v>
      </c>
      <c r="D211" s="33">
        <v>0</v>
      </c>
      <c r="E211" s="99">
        <v>0</v>
      </c>
      <c r="F211" s="19">
        <f t="shared" si="18"/>
        <v>7502</v>
      </c>
      <c r="G211" s="19">
        <v>0</v>
      </c>
      <c r="H211" s="142">
        <f t="shared" si="17"/>
        <v>7502</v>
      </c>
    </row>
    <row r="212" spans="1:8" ht="18" customHeight="1" x14ac:dyDescent="0.25">
      <c r="A212" s="17" t="s">
        <v>192</v>
      </c>
      <c r="B212" s="58" t="s">
        <v>36</v>
      </c>
      <c r="C212" s="33">
        <v>850</v>
      </c>
      <c r="D212" s="33">
        <v>0</v>
      </c>
      <c r="E212" s="99">
        <v>0</v>
      </c>
      <c r="F212" s="19">
        <f t="shared" si="18"/>
        <v>850</v>
      </c>
      <c r="G212" s="19">
        <v>0</v>
      </c>
      <c r="H212" s="142">
        <f t="shared" si="17"/>
        <v>850</v>
      </c>
    </row>
    <row r="213" spans="1:8" ht="27.75" customHeight="1" x14ac:dyDescent="0.25">
      <c r="A213" s="17" t="s">
        <v>193</v>
      </c>
      <c r="B213" s="58"/>
      <c r="C213" s="33">
        <v>355</v>
      </c>
      <c r="D213" s="33">
        <v>0</v>
      </c>
      <c r="E213" s="99">
        <v>0</v>
      </c>
      <c r="F213" s="19">
        <f t="shared" si="18"/>
        <v>355</v>
      </c>
      <c r="G213" s="19">
        <v>0</v>
      </c>
      <c r="H213" s="142">
        <f t="shared" si="17"/>
        <v>355</v>
      </c>
    </row>
    <row r="214" spans="1:8" ht="15.75" customHeight="1" x14ac:dyDescent="0.25">
      <c r="A214" s="59" t="s">
        <v>194</v>
      </c>
      <c r="B214" s="58" t="s">
        <v>195</v>
      </c>
      <c r="C214" s="33">
        <v>500</v>
      </c>
      <c r="D214" s="33">
        <v>0</v>
      </c>
      <c r="E214" s="99">
        <v>0</v>
      </c>
      <c r="F214" s="19">
        <f t="shared" si="18"/>
        <v>500</v>
      </c>
      <c r="G214" s="19">
        <v>0</v>
      </c>
      <c r="H214" s="142">
        <f t="shared" si="17"/>
        <v>500</v>
      </c>
    </row>
    <row r="215" spans="1:8" ht="15.75" customHeight="1" x14ac:dyDescent="0.25">
      <c r="A215" s="17" t="s">
        <v>196</v>
      </c>
      <c r="B215" s="58"/>
      <c r="C215" s="33">
        <v>70</v>
      </c>
      <c r="D215" s="33">
        <v>0</v>
      </c>
      <c r="E215" s="99">
        <v>0</v>
      </c>
      <c r="F215" s="19">
        <f t="shared" si="18"/>
        <v>70</v>
      </c>
      <c r="G215" s="19">
        <v>0</v>
      </c>
      <c r="H215" s="142">
        <f t="shared" si="17"/>
        <v>70</v>
      </c>
    </row>
    <row r="216" spans="1:8" ht="15" customHeight="1" x14ac:dyDescent="0.25">
      <c r="A216" s="59" t="s">
        <v>197</v>
      </c>
      <c r="B216" s="58"/>
      <c r="C216" s="33">
        <v>480</v>
      </c>
      <c r="D216" s="33">
        <v>0</v>
      </c>
      <c r="E216" s="99">
        <v>0</v>
      </c>
      <c r="F216" s="19">
        <f t="shared" si="18"/>
        <v>480</v>
      </c>
      <c r="G216" s="19">
        <v>0</v>
      </c>
      <c r="H216" s="142">
        <f t="shared" si="17"/>
        <v>480</v>
      </c>
    </row>
    <row r="217" spans="1:8" ht="16.5" customHeight="1" x14ac:dyDescent="0.25">
      <c r="A217" s="59" t="s">
        <v>198</v>
      </c>
      <c r="B217" s="58"/>
      <c r="C217" s="33">
        <v>2</v>
      </c>
      <c r="D217" s="33">
        <v>0</v>
      </c>
      <c r="E217" s="99">
        <v>0</v>
      </c>
      <c r="F217" s="19">
        <f t="shared" si="18"/>
        <v>2</v>
      </c>
      <c r="G217" s="19">
        <v>0</v>
      </c>
      <c r="H217" s="142">
        <f t="shared" si="17"/>
        <v>2</v>
      </c>
    </row>
    <row r="218" spans="1:8" ht="16.5" customHeight="1" x14ac:dyDescent="0.25">
      <c r="A218" s="59" t="s">
        <v>199</v>
      </c>
      <c r="B218" s="58"/>
      <c r="C218" s="33">
        <v>188</v>
      </c>
      <c r="D218" s="33">
        <v>0</v>
      </c>
      <c r="E218" s="99">
        <v>0</v>
      </c>
      <c r="F218" s="19">
        <f t="shared" si="18"/>
        <v>188</v>
      </c>
      <c r="G218" s="19">
        <v>0</v>
      </c>
      <c r="H218" s="142">
        <f t="shared" si="17"/>
        <v>188</v>
      </c>
    </row>
    <row r="219" spans="1:8" ht="15" customHeight="1" x14ac:dyDescent="0.25">
      <c r="A219" s="59" t="s">
        <v>200</v>
      </c>
      <c r="B219" s="58"/>
      <c r="C219" s="33">
        <v>15</v>
      </c>
      <c r="D219" s="33">
        <v>0</v>
      </c>
      <c r="E219" s="99">
        <v>0</v>
      </c>
      <c r="F219" s="19">
        <f t="shared" si="18"/>
        <v>15</v>
      </c>
      <c r="G219" s="19">
        <v>0</v>
      </c>
      <c r="H219" s="142">
        <f t="shared" si="17"/>
        <v>15</v>
      </c>
    </row>
    <row r="220" spans="1:8" ht="28.5" customHeight="1" x14ac:dyDescent="0.25">
      <c r="A220" s="17" t="s">
        <v>201</v>
      </c>
      <c r="B220" s="58"/>
      <c r="C220" s="33">
        <v>50</v>
      </c>
      <c r="D220" s="33">
        <v>0</v>
      </c>
      <c r="E220" s="99">
        <v>0</v>
      </c>
      <c r="F220" s="19">
        <f t="shared" si="18"/>
        <v>50</v>
      </c>
      <c r="G220" s="19">
        <v>0</v>
      </c>
      <c r="H220" s="142">
        <f t="shared" si="17"/>
        <v>50</v>
      </c>
    </row>
    <row r="221" spans="1:8" ht="23.25" customHeight="1" x14ac:dyDescent="0.25">
      <c r="A221" s="17" t="s">
        <v>202</v>
      </c>
      <c r="B221" s="58"/>
      <c r="C221" s="33">
        <v>30</v>
      </c>
      <c r="D221" s="33">
        <v>0</v>
      </c>
      <c r="E221" s="99">
        <v>0</v>
      </c>
      <c r="F221" s="19">
        <f t="shared" si="18"/>
        <v>30</v>
      </c>
      <c r="G221" s="19">
        <v>0</v>
      </c>
      <c r="H221" s="142">
        <f t="shared" si="17"/>
        <v>30</v>
      </c>
    </row>
    <row r="222" spans="1:8" ht="16.5" customHeight="1" x14ac:dyDescent="0.25">
      <c r="A222" s="17" t="s">
        <v>203</v>
      </c>
      <c r="B222" s="58"/>
      <c r="C222" s="33">
        <v>600</v>
      </c>
      <c r="D222" s="33">
        <v>0</v>
      </c>
      <c r="E222" s="99">
        <v>0</v>
      </c>
      <c r="F222" s="19">
        <f t="shared" si="18"/>
        <v>600</v>
      </c>
      <c r="G222" s="19">
        <v>0</v>
      </c>
      <c r="H222" s="142">
        <f t="shared" si="17"/>
        <v>600</v>
      </c>
    </row>
    <row r="223" spans="1:8" ht="17.25" customHeight="1" thickBot="1" x14ac:dyDescent="0.3">
      <c r="A223" s="20" t="s">
        <v>204</v>
      </c>
      <c r="B223" s="49"/>
      <c r="C223" s="78">
        <v>6334.24</v>
      </c>
      <c r="D223" s="78">
        <f>408.98</f>
        <v>408.98</v>
      </c>
      <c r="E223" s="100">
        <v>0</v>
      </c>
      <c r="F223" s="22">
        <f t="shared" si="18"/>
        <v>6743.2199999999993</v>
      </c>
      <c r="G223" s="22">
        <v>0</v>
      </c>
      <c r="H223" s="143">
        <f t="shared" si="17"/>
        <v>6743.2199999999993</v>
      </c>
    </row>
    <row r="224" spans="1:8" ht="16.350000000000001" customHeight="1" thickBot="1" x14ac:dyDescent="0.3">
      <c r="A224" s="61" t="s">
        <v>205</v>
      </c>
      <c r="B224" s="55"/>
      <c r="C224" s="46">
        <f>SUM(C226:C227)</f>
        <v>59013</v>
      </c>
      <c r="D224" s="46">
        <f>SUM(D226:D227)</f>
        <v>9</v>
      </c>
      <c r="E224" s="107">
        <f>SUM(E226:E227)</f>
        <v>0</v>
      </c>
      <c r="F224" s="46">
        <f>SUM(F226:F227)</f>
        <v>59022</v>
      </c>
      <c r="G224" s="46">
        <f>SUM(G226:G227)</f>
        <v>0</v>
      </c>
      <c r="H224" s="151">
        <f>SUM(F224:G224)</f>
        <v>59022</v>
      </c>
    </row>
    <row r="225" spans="1:8" ht="13.5" customHeight="1" x14ac:dyDescent="0.25">
      <c r="A225" s="62" t="s">
        <v>27</v>
      </c>
      <c r="B225" s="52"/>
      <c r="C225" s="32"/>
      <c r="D225" s="32"/>
      <c r="E225" s="98"/>
      <c r="F225" s="16"/>
      <c r="G225" s="16"/>
      <c r="H225" s="141"/>
    </row>
    <row r="226" spans="1:8" ht="17.25" customHeight="1" x14ac:dyDescent="0.25">
      <c r="A226" s="59" t="s">
        <v>30</v>
      </c>
      <c r="B226" s="54"/>
      <c r="C226" s="33">
        <v>300</v>
      </c>
      <c r="D226" s="33">
        <f>9</f>
        <v>9</v>
      </c>
      <c r="E226" s="99">
        <v>0</v>
      </c>
      <c r="F226" s="19">
        <f>SUM(C226:E226)</f>
        <v>309</v>
      </c>
      <c r="G226" s="19">
        <v>0</v>
      </c>
      <c r="H226" s="142">
        <f t="shared" si="17"/>
        <v>309</v>
      </c>
    </row>
    <row r="227" spans="1:8" ht="15.75" customHeight="1" x14ac:dyDescent="0.25">
      <c r="A227" s="59" t="s">
        <v>206</v>
      </c>
      <c r="B227" s="54"/>
      <c r="C227" s="33">
        <v>58713</v>
      </c>
      <c r="D227" s="33">
        <v>0</v>
      </c>
      <c r="E227" s="99">
        <v>0</v>
      </c>
      <c r="F227" s="19">
        <f>SUM(C227:E227)</f>
        <v>58713</v>
      </c>
      <c r="G227" s="19">
        <v>0</v>
      </c>
      <c r="H227" s="142">
        <f t="shared" si="17"/>
        <v>58713</v>
      </c>
    </row>
    <row r="228" spans="1:8" ht="16.5" customHeight="1" thickBot="1" x14ac:dyDescent="0.3">
      <c r="A228" s="163" t="s">
        <v>207</v>
      </c>
      <c r="B228" s="114"/>
      <c r="C228" s="115">
        <f>SUM(C230:C231)</f>
        <v>27507</v>
      </c>
      <c r="D228" s="115">
        <f>SUM(D230:D231)</f>
        <v>8108.52</v>
      </c>
      <c r="E228" s="116">
        <f>SUM(E230:E231)</f>
        <v>0</v>
      </c>
      <c r="F228" s="115">
        <f>SUM(F230:F231)</f>
        <v>35615.520000000004</v>
      </c>
      <c r="G228" s="115">
        <f>SUM(G230:G231)</f>
        <v>1.7</v>
      </c>
      <c r="H228" s="152">
        <f>SUM(F228:G228)</f>
        <v>35617.22</v>
      </c>
    </row>
    <row r="229" spans="1:8" ht="15" customHeight="1" x14ac:dyDescent="0.25">
      <c r="A229" s="62" t="s">
        <v>27</v>
      </c>
      <c r="B229" s="52"/>
      <c r="C229" s="32"/>
      <c r="D229" s="32"/>
      <c r="E229" s="98"/>
      <c r="F229" s="16"/>
      <c r="G229" s="28"/>
      <c r="H229" s="149"/>
    </row>
    <row r="230" spans="1:8" ht="15" customHeight="1" x14ac:dyDescent="0.25">
      <c r="A230" s="17" t="s">
        <v>30</v>
      </c>
      <c r="B230" s="54"/>
      <c r="C230" s="33">
        <v>100</v>
      </c>
      <c r="D230" s="33">
        <v>0</v>
      </c>
      <c r="E230" s="99">
        <v>0</v>
      </c>
      <c r="F230" s="19">
        <f>SUM(C230:E230)</f>
        <v>100</v>
      </c>
      <c r="G230" s="19">
        <f>1.7</f>
        <v>1.7</v>
      </c>
      <c r="H230" s="142">
        <f t="shared" si="17"/>
        <v>101.7</v>
      </c>
    </row>
    <row r="231" spans="1:8" ht="16.5" customHeight="1" thickBot="1" x14ac:dyDescent="0.3">
      <c r="A231" s="20" t="s">
        <v>208</v>
      </c>
      <c r="B231" s="49"/>
      <c r="C231" s="78">
        <v>27407</v>
      </c>
      <c r="D231" s="78">
        <f>5210.92+2944-46.4</f>
        <v>8108.52</v>
      </c>
      <c r="E231" s="100">
        <v>0</v>
      </c>
      <c r="F231" s="22">
        <f>SUM(C231:E231)</f>
        <v>35515.520000000004</v>
      </c>
      <c r="G231" s="22">
        <v>0</v>
      </c>
      <c r="H231" s="143">
        <f t="shared" si="17"/>
        <v>35515.520000000004</v>
      </c>
    </row>
    <row r="232" spans="1:8" ht="15.75" customHeight="1" thickBot="1" x14ac:dyDescent="0.3">
      <c r="A232" s="79" t="s">
        <v>209</v>
      </c>
      <c r="B232" s="55"/>
      <c r="C232" s="46">
        <f>SUM(C234:C235)</f>
        <v>5667</v>
      </c>
      <c r="D232" s="46">
        <f>SUM(D234:D235)</f>
        <v>0</v>
      </c>
      <c r="E232" s="107">
        <f>SUM(E234:E235)</f>
        <v>0</v>
      </c>
      <c r="F232" s="46">
        <f>SUM(F234:F235)</f>
        <v>5667</v>
      </c>
      <c r="G232" s="46">
        <f>SUM(G234:G235)</f>
        <v>200</v>
      </c>
      <c r="H232" s="151">
        <f t="shared" si="17"/>
        <v>5867</v>
      </c>
    </row>
    <row r="233" spans="1:8" ht="13.5" customHeight="1" x14ac:dyDescent="0.25">
      <c r="A233" s="62" t="s">
        <v>27</v>
      </c>
      <c r="B233" s="52"/>
      <c r="C233" s="32"/>
      <c r="D233" s="32"/>
      <c r="E233" s="98"/>
      <c r="F233" s="16"/>
      <c r="G233" s="16"/>
      <c r="H233" s="141"/>
    </row>
    <row r="234" spans="1:8" ht="15.75" customHeight="1" x14ac:dyDescent="0.25">
      <c r="A234" s="59" t="s">
        <v>30</v>
      </c>
      <c r="B234" s="54"/>
      <c r="C234" s="33">
        <v>380</v>
      </c>
      <c r="D234" s="33">
        <v>0</v>
      </c>
      <c r="E234" s="99">
        <v>0</v>
      </c>
      <c r="F234" s="19">
        <f>SUM(C234:E234)</f>
        <v>380</v>
      </c>
      <c r="G234" s="19">
        <v>0</v>
      </c>
      <c r="H234" s="142">
        <f t="shared" si="17"/>
        <v>380</v>
      </c>
    </row>
    <row r="235" spans="1:8" ht="24.75" customHeight="1" thickBot="1" x14ac:dyDescent="0.3">
      <c r="A235" s="20" t="s">
        <v>210</v>
      </c>
      <c r="B235" s="49"/>
      <c r="C235" s="78">
        <v>5287</v>
      </c>
      <c r="D235" s="78">
        <v>0</v>
      </c>
      <c r="E235" s="100">
        <v>0</v>
      </c>
      <c r="F235" s="22">
        <f t="shared" ref="F235" si="19">SUM(C235:E235)</f>
        <v>5287</v>
      </c>
      <c r="G235" s="22">
        <f>200</f>
        <v>200</v>
      </c>
      <c r="H235" s="143">
        <f t="shared" si="17"/>
        <v>5487</v>
      </c>
    </row>
    <row r="236" spans="1:8" ht="16.5" customHeight="1" thickBot="1" x14ac:dyDescent="0.3">
      <c r="A236" s="80" t="s">
        <v>211</v>
      </c>
      <c r="B236" s="81"/>
      <c r="C236" s="82">
        <f>SUM(C24+C34+C39+C47+C51+C56+C144+C158+C167+C203+C206+C224+C228+C232)</f>
        <v>1553728.91</v>
      </c>
      <c r="D236" s="82">
        <f>SUM(D24+D34+D39+D47+D51+D56+D144+D158+D167+D203+D206+D224+D228+D232)</f>
        <v>6087.43</v>
      </c>
      <c r="E236" s="82">
        <f>SUM(E24+E34+E39+E47+E51+E56+E144+E158+E167+E203+E206+E224+E228+E232)</f>
        <v>58806.520000000004</v>
      </c>
      <c r="F236" s="82">
        <f>SUM(F24+F34+F39+F47+F51+F56+F144+F158+F167+F203+F206+F224+F228+F232)</f>
        <v>1618622.86</v>
      </c>
      <c r="G236" s="82">
        <f>SUM(G24+G34+G39+G47+G51+G56+G144+G158+G167+G203+G206+G224+G228+G232)</f>
        <v>-71.340000000000032</v>
      </c>
      <c r="H236" s="153">
        <f t="shared" si="17"/>
        <v>1618551.52</v>
      </c>
    </row>
    <row r="237" spans="1:8" ht="13.5" customHeight="1" thickBot="1" x14ac:dyDescent="0.3">
      <c r="A237" s="125"/>
      <c r="B237" s="126"/>
      <c r="C237" s="127"/>
      <c r="D237" s="127"/>
      <c r="E237" s="102"/>
      <c r="F237" s="28"/>
      <c r="G237" s="28"/>
      <c r="H237" s="149"/>
    </row>
    <row r="238" spans="1:8" ht="15.75" customHeight="1" thickBot="1" x14ac:dyDescent="0.3">
      <c r="A238" s="80" t="s">
        <v>212</v>
      </c>
      <c r="B238" s="156"/>
      <c r="C238" s="43"/>
      <c r="D238" s="43"/>
      <c r="E238" s="106"/>
      <c r="F238" s="43"/>
      <c r="G238" s="43"/>
      <c r="H238" s="150"/>
    </row>
    <row r="239" spans="1:8" ht="17.25" customHeight="1" thickBot="1" x14ac:dyDescent="0.3">
      <c r="A239" s="61" t="s">
        <v>26</v>
      </c>
      <c r="B239" s="55"/>
      <c r="C239" s="46">
        <f t="shared" ref="C239" si="20">SUM(C241)</f>
        <v>0</v>
      </c>
      <c r="D239" s="46">
        <f>SUM(D241)</f>
        <v>0</v>
      </c>
      <c r="E239" s="107">
        <f>SUM(E241)</f>
        <v>0</v>
      </c>
      <c r="F239" s="46">
        <f>SUM(F241)</f>
        <v>0</v>
      </c>
      <c r="G239" s="46">
        <f>SUM(G241)</f>
        <v>0</v>
      </c>
      <c r="H239" s="151">
        <f t="shared" si="17"/>
        <v>0</v>
      </c>
    </row>
    <row r="240" spans="1:8" ht="15.75" customHeight="1" x14ac:dyDescent="0.25">
      <c r="A240" s="62" t="s">
        <v>27</v>
      </c>
      <c r="B240" s="52"/>
      <c r="C240" s="16"/>
      <c r="D240" s="16"/>
      <c r="E240" s="98"/>
      <c r="F240" s="16"/>
      <c r="G240" s="16"/>
      <c r="H240" s="141">
        <f t="shared" si="17"/>
        <v>0</v>
      </c>
    </row>
    <row r="241" spans="1:8" ht="18" customHeight="1" thickBot="1" x14ac:dyDescent="0.3">
      <c r="A241" s="60" t="s">
        <v>213</v>
      </c>
      <c r="B241" s="49"/>
      <c r="C241" s="22">
        <v>0</v>
      </c>
      <c r="D241" s="22">
        <v>0</v>
      </c>
      <c r="E241" s="100">
        <v>0</v>
      </c>
      <c r="F241" s="22">
        <f>SUM(C241:E241)</f>
        <v>0</v>
      </c>
      <c r="G241" s="22">
        <v>0</v>
      </c>
      <c r="H241" s="143">
        <f t="shared" si="17"/>
        <v>0</v>
      </c>
    </row>
    <row r="242" spans="1:8" ht="17.25" customHeight="1" thickBot="1" x14ac:dyDescent="0.3">
      <c r="A242" s="61" t="s">
        <v>214</v>
      </c>
      <c r="B242" s="55"/>
      <c r="C242" s="46">
        <f>SUM(C244:C246)</f>
        <v>8000</v>
      </c>
      <c r="D242" s="46">
        <f>SUM(D244:D246)</f>
        <v>50</v>
      </c>
      <c r="E242" s="107">
        <f>SUM(E244:E246)</f>
        <v>0</v>
      </c>
      <c r="F242" s="46">
        <f>SUM(F244:F246)</f>
        <v>8050</v>
      </c>
      <c r="G242" s="46">
        <f>SUM(G244:G246)</f>
        <v>0</v>
      </c>
      <c r="H242" s="151">
        <f t="shared" si="17"/>
        <v>8050</v>
      </c>
    </row>
    <row r="243" spans="1:8" ht="15.75" customHeight="1" x14ac:dyDescent="0.25">
      <c r="A243" s="62" t="s">
        <v>27</v>
      </c>
      <c r="B243" s="52"/>
      <c r="C243" s="16"/>
      <c r="D243" s="16"/>
      <c r="E243" s="98"/>
      <c r="F243" s="16"/>
      <c r="G243" s="16"/>
      <c r="H243" s="141"/>
    </row>
    <row r="244" spans="1:8" ht="16.5" customHeight="1" x14ac:dyDescent="0.25">
      <c r="A244" s="59" t="s">
        <v>215</v>
      </c>
      <c r="B244" s="54"/>
      <c r="C244" s="19">
        <v>8000</v>
      </c>
      <c r="D244" s="19">
        <f>50</f>
        <v>50</v>
      </c>
      <c r="E244" s="99">
        <v>0</v>
      </c>
      <c r="F244" s="19">
        <f>SUM(C244:E244)</f>
        <v>8050</v>
      </c>
      <c r="G244" s="19">
        <v>0</v>
      </c>
      <c r="H244" s="142">
        <f t="shared" si="17"/>
        <v>8050</v>
      </c>
    </row>
    <row r="245" spans="1:8" ht="17.25" customHeight="1" x14ac:dyDescent="0.25">
      <c r="A245" s="59" t="s">
        <v>216</v>
      </c>
      <c r="B245" s="54"/>
      <c r="C245" s="19">
        <v>0</v>
      </c>
      <c r="D245" s="19">
        <v>0</v>
      </c>
      <c r="E245" s="99">
        <v>0</v>
      </c>
      <c r="F245" s="19">
        <f t="shared" ref="F245:F246" si="21">SUM(C245:E245)</f>
        <v>0</v>
      </c>
      <c r="G245" s="19">
        <v>0</v>
      </c>
      <c r="H245" s="142">
        <f t="shared" si="17"/>
        <v>0</v>
      </c>
    </row>
    <row r="246" spans="1:8" ht="18.75" customHeight="1" thickBot="1" x14ac:dyDescent="0.3">
      <c r="A246" s="60" t="s">
        <v>217</v>
      </c>
      <c r="B246" s="49"/>
      <c r="C246" s="22">
        <v>0</v>
      </c>
      <c r="D246" s="22">
        <v>0</v>
      </c>
      <c r="E246" s="100">
        <v>0</v>
      </c>
      <c r="F246" s="22">
        <f t="shared" si="21"/>
        <v>0</v>
      </c>
      <c r="G246" s="22">
        <v>0</v>
      </c>
      <c r="H246" s="143">
        <f t="shared" si="17"/>
        <v>0</v>
      </c>
    </row>
    <row r="247" spans="1:8" ht="18" customHeight="1" thickBot="1" x14ac:dyDescent="0.3">
      <c r="A247" s="61" t="s">
        <v>33</v>
      </c>
      <c r="B247" s="55"/>
      <c r="C247" s="46">
        <f t="shared" ref="C247" si="22">SUM(C249:C256)</f>
        <v>146292.67000000001</v>
      </c>
      <c r="D247" s="46">
        <f>SUM(D249:D256)</f>
        <v>-141.66</v>
      </c>
      <c r="E247" s="107">
        <f>SUM(E249:E256)</f>
        <v>162688.91999999998</v>
      </c>
      <c r="F247" s="46">
        <f>SUM(F249:F256)</f>
        <v>308839.93</v>
      </c>
      <c r="G247" s="46">
        <f>SUM(G249:G256)</f>
        <v>-4200</v>
      </c>
      <c r="H247" s="151">
        <f t="shared" si="17"/>
        <v>304639.93</v>
      </c>
    </row>
    <row r="248" spans="1:8" ht="15" customHeight="1" x14ac:dyDescent="0.25">
      <c r="A248" s="62" t="s">
        <v>27</v>
      </c>
      <c r="B248" s="52"/>
      <c r="C248" s="16"/>
      <c r="D248" s="16"/>
      <c r="E248" s="98"/>
      <c r="F248" s="16"/>
      <c r="G248" s="16"/>
      <c r="H248" s="141"/>
    </row>
    <row r="249" spans="1:8" ht="15.75" customHeight="1" x14ac:dyDescent="0.25">
      <c r="A249" s="59" t="s">
        <v>218</v>
      </c>
      <c r="B249" s="54"/>
      <c r="C249" s="19">
        <v>1600</v>
      </c>
      <c r="D249" s="19">
        <v>0</v>
      </c>
      <c r="E249" s="99">
        <v>4456.45</v>
      </c>
      <c r="F249" s="19">
        <f>SUM(C249:E249)</f>
        <v>6056.45</v>
      </c>
      <c r="G249" s="19">
        <v>0</v>
      </c>
      <c r="H249" s="142">
        <f t="shared" si="17"/>
        <v>6056.45</v>
      </c>
    </row>
    <row r="250" spans="1:8" ht="17.25" customHeight="1" x14ac:dyDescent="0.25">
      <c r="A250" s="59" t="s">
        <v>219</v>
      </c>
      <c r="B250" s="54"/>
      <c r="C250" s="19">
        <v>3100</v>
      </c>
      <c r="D250" s="19">
        <f>-81.66</f>
        <v>-81.66</v>
      </c>
      <c r="E250" s="99">
        <v>4753.5600000000004</v>
      </c>
      <c r="F250" s="19">
        <f t="shared" ref="F250:F256" si="23">SUM(C250:E250)</f>
        <v>7771.9000000000005</v>
      </c>
      <c r="G250" s="19">
        <v>0</v>
      </c>
      <c r="H250" s="142">
        <f t="shared" si="17"/>
        <v>7771.9000000000005</v>
      </c>
    </row>
    <row r="251" spans="1:8" ht="16.5" customHeight="1" x14ac:dyDescent="0.25">
      <c r="A251" s="17" t="s">
        <v>220</v>
      </c>
      <c r="B251" s="54"/>
      <c r="C251" s="19">
        <v>1300</v>
      </c>
      <c r="D251" s="19">
        <f>-60</f>
        <v>-60</v>
      </c>
      <c r="E251" s="99">
        <v>2267.6799999999998</v>
      </c>
      <c r="F251" s="19">
        <f t="shared" si="23"/>
        <v>3507.68</v>
      </c>
      <c r="G251" s="19">
        <v>0</v>
      </c>
      <c r="H251" s="142">
        <f t="shared" si="17"/>
        <v>3507.68</v>
      </c>
    </row>
    <row r="252" spans="1:8" ht="17.25" customHeight="1" x14ac:dyDescent="0.25">
      <c r="A252" s="59" t="s">
        <v>221</v>
      </c>
      <c r="B252" s="54"/>
      <c r="C252" s="19">
        <v>2900</v>
      </c>
      <c r="D252" s="19">
        <v>0</v>
      </c>
      <c r="E252" s="99">
        <v>5211.2</v>
      </c>
      <c r="F252" s="19">
        <f t="shared" si="23"/>
        <v>8111.2</v>
      </c>
      <c r="G252" s="19">
        <v>0</v>
      </c>
      <c r="H252" s="142">
        <f t="shared" si="17"/>
        <v>8111.2</v>
      </c>
    </row>
    <row r="253" spans="1:8" ht="16.5" customHeight="1" x14ac:dyDescent="0.25">
      <c r="A253" s="17" t="s">
        <v>222</v>
      </c>
      <c r="B253" s="54"/>
      <c r="C253" s="19">
        <v>1100</v>
      </c>
      <c r="D253" s="19">
        <v>0</v>
      </c>
      <c r="E253" s="99">
        <v>579</v>
      </c>
      <c r="F253" s="19">
        <f t="shared" si="23"/>
        <v>1679</v>
      </c>
      <c r="G253" s="22">
        <v>0</v>
      </c>
      <c r="H253" s="149">
        <f t="shared" si="17"/>
        <v>1679</v>
      </c>
    </row>
    <row r="254" spans="1:8" ht="23.25" customHeight="1" x14ac:dyDescent="0.25">
      <c r="A254" s="17" t="s">
        <v>223</v>
      </c>
      <c r="B254" s="54"/>
      <c r="C254" s="19">
        <v>2677.75</v>
      </c>
      <c r="D254" s="19">
        <v>0</v>
      </c>
      <c r="E254" s="99">
        <v>0</v>
      </c>
      <c r="F254" s="19">
        <f t="shared" si="23"/>
        <v>2677.75</v>
      </c>
      <c r="G254" s="19">
        <v>0</v>
      </c>
      <c r="H254" s="142">
        <f t="shared" si="17"/>
        <v>2677.75</v>
      </c>
    </row>
    <row r="255" spans="1:8" ht="15" customHeight="1" x14ac:dyDescent="0.25">
      <c r="A255" s="17" t="s">
        <v>224</v>
      </c>
      <c r="B255" s="54"/>
      <c r="C255" s="19">
        <v>133614.92000000001</v>
      </c>
      <c r="D255" s="19">
        <v>0</v>
      </c>
      <c r="E255" s="99">
        <v>145421.03</v>
      </c>
      <c r="F255" s="19">
        <f t="shared" si="23"/>
        <v>279035.95</v>
      </c>
      <c r="G255" s="19">
        <f>-4200</f>
        <v>-4200</v>
      </c>
      <c r="H255" s="142">
        <f t="shared" si="17"/>
        <v>274835.95</v>
      </c>
    </row>
    <row r="256" spans="1:8" ht="15.75" customHeight="1" thickBot="1" x14ac:dyDescent="0.3">
      <c r="A256" s="60" t="s">
        <v>225</v>
      </c>
      <c r="B256" s="49"/>
      <c r="C256" s="22">
        <v>0</v>
      </c>
      <c r="D256" s="22">
        <v>0</v>
      </c>
      <c r="E256" s="100">
        <v>0</v>
      </c>
      <c r="F256" s="22">
        <f t="shared" si="23"/>
        <v>0</v>
      </c>
      <c r="G256" s="22">
        <v>0</v>
      </c>
      <c r="H256" s="143">
        <f t="shared" si="17"/>
        <v>0</v>
      </c>
    </row>
    <row r="257" spans="1:8" ht="15" customHeight="1" thickBot="1" x14ac:dyDescent="0.3">
      <c r="A257" s="61" t="s">
        <v>41</v>
      </c>
      <c r="B257" s="55"/>
      <c r="C257" s="46">
        <f>SUM(C259:C260)</f>
        <v>14737.300000000001</v>
      </c>
      <c r="D257" s="46">
        <f>SUM(D259:D260)</f>
        <v>8656.35</v>
      </c>
      <c r="E257" s="107">
        <f>SUM(E259:E260)</f>
        <v>834.93000000000006</v>
      </c>
      <c r="F257" s="46">
        <f>SUM(F259:F260)</f>
        <v>24228.58</v>
      </c>
      <c r="G257" s="46">
        <f>SUM(G259:G260)</f>
        <v>0</v>
      </c>
      <c r="H257" s="151">
        <f t="shared" si="17"/>
        <v>24228.58</v>
      </c>
    </row>
    <row r="258" spans="1:8" ht="16.5" customHeight="1" x14ac:dyDescent="0.25">
      <c r="A258" s="62" t="s">
        <v>27</v>
      </c>
      <c r="B258" s="52"/>
      <c r="C258" s="16"/>
      <c r="D258" s="16"/>
      <c r="E258" s="98"/>
      <c r="F258" s="16"/>
      <c r="G258" s="16"/>
      <c r="H258" s="141"/>
    </row>
    <row r="259" spans="1:8" ht="16.5" customHeight="1" x14ac:dyDescent="0.25">
      <c r="A259" s="59" t="s">
        <v>215</v>
      </c>
      <c r="B259" s="54"/>
      <c r="C259" s="19">
        <v>13059.1</v>
      </c>
      <c r="D259" s="19">
        <f>7964.48-27.59+281.78+437.68</f>
        <v>8656.35</v>
      </c>
      <c r="E259" s="99">
        <v>610</v>
      </c>
      <c r="F259" s="19">
        <f t="shared" ref="F259:F260" si="24">SUM(C259:E259)</f>
        <v>22325.45</v>
      </c>
      <c r="G259" s="19">
        <v>0</v>
      </c>
      <c r="H259" s="142">
        <f t="shared" si="17"/>
        <v>22325.45</v>
      </c>
    </row>
    <row r="260" spans="1:8" ht="16.5" customHeight="1" thickBot="1" x14ac:dyDescent="0.3">
      <c r="A260" s="20" t="s">
        <v>226</v>
      </c>
      <c r="B260" s="49"/>
      <c r="C260" s="22">
        <v>1678.2</v>
      </c>
      <c r="D260" s="22">
        <v>0</v>
      </c>
      <c r="E260" s="100">
        <v>224.93</v>
      </c>
      <c r="F260" s="22">
        <f t="shared" si="24"/>
        <v>1903.13</v>
      </c>
      <c r="G260" s="22">
        <v>0</v>
      </c>
      <c r="H260" s="143">
        <f t="shared" si="17"/>
        <v>1903.13</v>
      </c>
    </row>
    <row r="261" spans="1:8" ht="16.5" customHeight="1" thickBot="1" x14ac:dyDescent="0.3">
      <c r="A261" s="83" t="s">
        <v>43</v>
      </c>
      <c r="B261" s="51"/>
      <c r="C261" s="84">
        <f t="shared" ref="C261" si="25">SUM(C263:C264)</f>
        <v>0</v>
      </c>
      <c r="D261" s="84">
        <f>SUM(D263:D264)</f>
        <v>0</v>
      </c>
      <c r="E261" s="107">
        <f>SUM(E263:E264)</f>
        <v>0</v>
      </c>
      <c r="F261" s="46">
        <f>SUM(F263:F264)</f>
        <v>0</v>
      </c>
      <c r="G261" s="46">
        <f>SUM(G263:G264)</f>
        <v>0</v>
      </c>
      <c r="H261" s="151">
        <f t="shared" si="17"/>
        <v>0</v>
      </c>
    </row>
    <row r="262" spans="1:8" ht="15" customHeight="1" x14ac:dyDescent="0.25">
      <c r="A262" s="62" t="s">
        <v>27</v>
      </c>
      <c r="B262" s="52"/>
      <c r="C262" s="16"/>
      <c r="D262" s="16"/>
      <c r="E262" s="98"/>
      <c r="F262" s="16"/>
      <c r="G262" s="16"/>
      <c r="H262" s="141"/>
    </row>
    <row r="263" spans="1:8" ht="17.25" customHeight="1" x14ac:dyDescent="0.25">
      <c r="A263" s="59" t="s">
        <v>215</v>
      </c>
      <c r="B263" s="54"/>
      <c r="C263" s="19">
        <v>0</v>
      </c>
      <c r="D263" s="19">
        <v>0</v>
      </c>
      <c r="E263" s="99">
        <v>0</v>
      </c>
      <c r="F263" s="19">
        <f>SUM(C263:E263)</f>
        <v>0</v>
      </c>
      <c r="G263" s="19">
        <v>0</v>
      </c>
      <c r="H263" s="142">
        <f t="shared" si="17"/>
        <v>0</v>
      </c>
    </row>
    <row r="264" spans="1:8" ht="17.25" customHeight="1" thickBot="1" x14ac:dyDescent="0.3">
      <c r="A264" s="60" t="s">
        <v>227</v>
      </c>
      <c r="B264" s="49"/>
      <c r="C264" s="22">
        <v>0</v>
      </c>
      <c r="D264" s="22">
        <v>0</v>
      </c>
      <c r="E264" s="100">
        <v>0</v>
      </c>
      <c r="F264" s="22">
        <f>SUM(C264:E264)</f>
        <v>0</v>
      </c>
      <c r="G264" s="22">
        <v>0</v>
      </c>
      <c r="H264" s="143">
        <f t="shared" ref="H264:H325" si="26">SUM(F264:G264)</f>
        <v>0</v>
      </c>
    </row>
    <row r="265" spans="1:8" ht="15.75" customHeight="1" thickBot="1" x14ac:dyDescent="0.3">
      <c r="A265" s="61" t="s">
        <v>47</v>
      </c>
      <c r="B265" s="55"/>
      <c r="C265" s="46">
        <f>SUM(C267:C281)</f>
        <v>2850</v>
      </c>
      <c r="D265" s="46">
        <f>SUM(D267:D281)</f>
        <v>270</v>
      </c>
      <c r="E265" s="107">
        <f>SUM(E267:E281)</f>
        <v>5845.42</v>
      </c>
      <c r="F265" s="46">
        <f>SUM(F267:F281)</f>
        <v>8965.42</v>
      </c>
      <c r="G265" s="46">
        <f>SUM(G267:G281)</f>
        <v>0</v>
      </c>
      <c r="H265" s="151">
        <f t="shared" si="26"/>
        <v>8965.42</v>
      </c>
    </row>
    <row r="266" spans="1:8" ht="15.75" customHeight="1" x14ac:dyDescent="0.25">
      <c r="A266" s="62" t="s">
        <v>27</v>
      </c>
      <c r="B266" s="52"/>
      <c r="C266" s="16"/>
      <c r="D266" s="16"/>
      <c r="E266" s="98"/>
      <c r="F266" s="16"/>
      <c r="G266" s="16"/>
      <c r="H266" s="141"/>
    </row>
    <row r="267" spans="1:8" ht="16.5" customHeight="1" x14ac:dyDescent="0.25">
      <c r="A267" s="59" t="s">
        <v>215</v>
      </c>
      <c r="B267" s="54"/>
      <c r="C267" s="19">
        <v>2850</v>
      </c>
      <c r="D267" s="19">
        <f>130+140</f>
        <v>270</v>
      </c>
      <c r="E267" s="99">
        <v>1965</v>
      </c>
      <c r="F267" s="19">
        <f>SUM(C267:E267)</f>
        <v>5085</v>
      </c>
      <c r="G267" s="19">
        <v>0</v>
      </c>
      <c r="H267" s="142">
        <f t="shared" si="26"/>
        <v>5085</v>
      </c>
    </row>
    <row r="268" spans="1:8" ht="27.75" customHeight="1" x14ac:dyDescent="0.25">
      <c r="A268" s="20" t="s">
        <v>276</v>
      </c>
      <c r="B268" s="49" t="s">
        <v>36</v>
      </c>
      <c r="C268" s="22">
        <v>0</v>
      </c>
      <c r="D268" s="85">
        <v>0</v>
      </c>
      <c r="E268" s="108">
        <v>240</v>
      </c>
      <c r="F268" s="19">
        <f t="shared" ref="F268:F280" si="27">SUM(C268:E268)</f>
        <v>240</v>
      </c>
      <c r="G268" s="19">
        <v>0</v>
      </c>
      <c r="H268" s="142">
        <f t="shared" si="26"/>
        <v>240</v>
      </c>
    </row>
    <row r="269" spans="1:8" ht="29.25" customHeight="1" x14ac:dyDescent="0.25">
      <c r="A269" s="17" t="s">
        <v>277</v>
      </c>
      <c r="B269" s="54" t="s">
        <v>36</v>
      </c>
      <c r="C269" s="19">
        <v>0</v>
      </c>
      <c r="D269" s="88">
        <v>0</v>
      </c>
      <c r="E269" s="111">
        <v>750</v>
      </c>
      <c r="F269" s="19">
        <f t="shared" si="27"/>
        <v>750</v>
      </c>
      <c r="G269" s="19">
        <v>0</v>
      </c>
      <c r="H269" s="142">
        <f t="shared" si="26"/>
        <v>750</v>
      </c>
    </row>
    <row r="270" spans="1:8" ht="28.5" customHeight="1" x14ac:dyDescent="0.25">
      <c r="A270" s="17" t="s">
        <v>278</v>
      </c>
      <c r="B270" s="54" t="s">
        <v>36</v>
      </c>
      <c r="C270" s="19">
        <v>0</v>
      </c>
      <c r="D270" s="88">
        <v>0</v>
      </c>
      <c r="E270" s="111">
        <v>60</v>
      </c>
      <c r="F270" s="19">
        <f t="shared" si="27"/>
        <v>60</v>
      </c>
      <c r="G270" s="19">
        <v>0</v>
      </c>
      <c r="H270" s="142">
        <f t="shared" si="26"/>
        <v>60</v>
      </c>
    </row>
    <row r="271" spans="1:8" ht="28.5" customHeight="1" x14ac:dyDescent="0.25">
      <c r="A271" s="17" t="s">
        <v>279</v>
      </c>
      <c r="B271" s="54" t="s">
        <v>273</v>
      </c>
      <c r="C271" s="19">
        <v>0</v>
      </c>
      <c r="D271" s="88">
        <v>0</v>
      </c>
      <c r="E271" s="111">
        <v>68.84</v>
      </c>
      <c r="F271" s="19">
        <f t="shared" si="27"/>
        <v>68.84</v>
      </c>
      <c r="G271" s="19">
        <v>0</v>
      </c>
      <c r="H271" s="142">
        <f t="shared" si="26"/>
        <v>68.84</v>
      </c>
    </row>
    <row r="272" spans="1:8" ht="37.5" customHeight="1" x14ac:dyDescent="0.25">
      <c r="A272" s="17" t="s">
        <v>280</v>
      </c>
      <c r="B272" s="54" t="s">
        <v>273</v>
      </c>
      <c r="C272" s="19">
        <v>0</v>
      </c>
      <c r="D272" s="88">
        <v>0</v>
      </c>
      <c r="E272" s="111">
        <v>11.58</v>
      </c>
      <c r="F272" s="19">
        <f t="shared" si="27"/>
        <v>11.58</v>
      </c>
      <c r="G272" s="19">
        <v>0</v>
      </c>
      <c r="H272" s="142">
        <f t="shared" si="26"/>
        <v>11.58</v>
      </c>
    </row>
    <row r="273" spans="1:8" ht="15" customHeight="1" x14ac:dyDescent="0.25">
      <c r="A273" s="60" t="s">
        <v>281</v>
      </c>
      <c r="B273" s="49" t="s">
        <v>36</v>
      </c>
      <c r="C273" s="22">
        <v>0</v>
      </c>
      <c r="D273" s="85">
        <v>0</v>
      </c>
      <c r="E273" s="108">
        <v>140</v>
      </c>
      <c r="F273" s="19">
        <f t="shared" si="27"/>
        <v>140</v>
      </c>
      <c r="G273" s="22">
        <v>0</v>
      </c>
      <c r="H273" s="149">
        <f t="shared" si="26"/>
        <v>140</v>
      </c>
    </row>
    <row r="274" spans="1:8" ht="13.5" customHeight="1" x14ac:dyDescent="0.25">
      <c r="A274" s="60" t="s">
        <v>282</v>
      </c>
      <c r="B274" s="49" t="s">
        <v>36</v>
      </c>
      <c r="C274" s="22">
        <v>0</v>
      </c>
      <c r="D274" s="85">
        <v>0</v>
      </c>
      <c r="E274" s="108">
        <v>300</v>
      </c>
      <c r="F274" s="19">
        <f t="shared" si="27"/>
        <v>300</v>
      </c>
      <c r="G274" s="19">
        <v>0</v>
      </c>
      <c r="H274" s="142">
        <f t="shared" si="26"/>
        <v>300</v>
      </c>
    </row>
    <row r="275" spans="1:8" ht="28.5" customHeight="1" x14ac:dyDescent="0.25">
      <c r="A275" s="17" t="s">
        <v>283</v>
      </c>
      <c r="B275" s="54" t="s">
        <v>36</v>
      </c>
      <c r="C275" s="19">
        <v>0</v>
      </c>
      <c r="D275" s="88">
        <v>0</v>
      </c>
      <c r="E275" s="111">
        <v>260</v>
      </c>
      <c r="F275" s="19">
        <f t="shared" si="27"/>
        <v>260</v>
      </c>
      <c r="G275" s="19">
        <v>0</v>
      </c>
      <c r="H275" s="142">
        <f t="shared" si="26"/>
        <v>260</v>
      </c>
    </row>
    <row r="276" spans="1:8" ht="28.5" customHeight="1" x14ac:dyDescent="0.25">
      <c r="A276" s="17" t="s">
        <v>284</v>
      </c>
      <c r="B276" s="54" t="s">
        <v>36</v>
      </c>
      <c r="C276" s="19">
        <v>0</v>
      </c>
      <c r="D276" s="19">
        <v>0</v>
      </c>
      <c r="E276" s="19">
        <v>250</v>
      </c>
      <c r="F276" s="19">
        <f t="shared" si="27"/>
        <v>250</v>
      </c>
      <c r="G276" s="19">
        <v>0</v>
      </c>
      <c r="H276" s="142">
        <f t="shared" si="26"/>
        <v>250</v>
      </c>
    </row>
    <row r="277" spans="1:8" ht="16.5" customHeight="1" x14ac:dyDescent="0.25">
      <c r="A277" s="60" t="s">
        <v>285</v>
      </c>
      <c r="B277" s="49" t="s">
        <v>36</v>
      </c>
      <c r="C277" s="22">
        <v>0</v>
      </c>
      <c r="D277" s="85">
        <v>0</v>
      </c>
      <c r="E277" s="108">
        <v>100</v>
      </c>
      <c r="F277" s="19">
        <f t="shared" si="27"/>
        <v>100</v>
      </c>
      <c r="G277" s="19">
        <v>0</v>
      </c>
      <c r="H277" s="142">
        <f t="shared" si="26"/>
        <v>100</v>
      </c>
    </row>
    <row r="278" spans="1:8" ht="16.5" customHeight="1" x14ac:dyDescent="0.25">
      <c r="A278" s="60" t="s">
        <v>286</v>
      </c>
      <c r="B278" s="49" t="s">
        <v>36</v>
      </c>
      <c r="C278" s="22">
        <v>0</v>
      </c>
      <c r="D278" s="85">
        <v>0</v>
      </c>
      <c r="E278" s="108">
        <v>300</v>
      </c>
      <c r="F278" s="19">
        <f t="shared" si="27"/>
        <v>300</v>
      </c>
      <c r="G278" s="19">
        <v>0</v>
      </c>
      <c r="H278" s="142">
        <f t="shared" si="26"/>
        <v>300</v>
      </c>
    </row>
    <row r="279" spans="1:8" ht="16.5" customHeight="1" x14ac:dyDescent="0.25">
      <c r="A279" s="60" t="s">
        <v>287</v>
      </c>
      <c r="B279" s="49" t="s">
        <v>36</v>
      </c>
      <c r="C279" s="22">
        <v>0</v>
      </c>
      <c r="D279" s="85">
        <v>0</v>
      </c>
      <c r="E279" s="108">
        <v>300</v>
      </c>
      <c r="F279" s="19">
        <f t="shared" si="27"/>
        <v>300</v>
      </c>
      <c r="G279" s="19">
        <v>0</v>
      </c>
      <c r="H279" s="142">
        <f t="shared" si="26"/>
        <v>300</v>
      </c>
    </row>
    <row r="280" spans="1:8" ht="16.5" customHeight="1" x14ac:dyDescent="0.25">
      <c r="A280" s="60" t="s">
        <v>288</v>
      </c>
      <c r="B280" s="49" t="s">
        <v>36</v>
      </c>
      <c r="C280" s="22">
        <v>0</v>
      </c>
      <c r="D280" s="85">
        <v>0</v>
      </c>
      <c r="E280" s="108">
        <v>100</v>
      </c>
      <c r="F280" s="19">
        <f t="shared" si="27"/>
        <v>100</v>
      </c>
      <c r="G280" s="19">
        <v>0</v>
      </c>
      <c r="H280" s="142">
        <f t="shared" si="26"/>
        <v>100</v>
      </c>
    </row>
    <row r="281" spans="1:8" ht="16.5" customHeight="1" thickBot="1" x14ac:dyDescent="0.3">
      <c r="A281" s="60" t="s">
        <v>228</v>
      </c>
      <c r="B281" s="49"/>
      <c r="C281" s="22">
        <v>0</v>
      </c>
      <c r="D281" s="85">
        <v>0</v>
      </c>
      <c r="E281" s="108">
        <v>1000</v>
      </c>
      <c r="F281" s="22">
        <f>SUM(C281:E281)</f>
        <v>1000</v>
      </c>
      <c r="G281" s="22">
        <v>0</v>
      </c>
      <c r="H281" s="143">
        <f t="shared" si="26"/>
        <v>1000</v>
      </c>
    </row>
    <row r="282" spans="1:8" ht="16.350000000000001" customHeight="1" thickBot="1" x14ac:dyDescent="0.3">
      <c r="A282" s="61" t="s">
        <v>125</v>
      </c>
      <c r="B282" s="55"/>
      <c r="C282" s="86">
        <f>SUM(C284:C285)</f>
        <v>46983</v>
      </c>
      <c r="D282" s="86">
        <f>SUM(D284:D285)</f>
        <v>0</v>
      </c>
      <c r="E282" s="109">
        <f>SUM(E284:E285)</f>
        <v>7585</v>
      </c>
      <c r="F282" s="46">
        <f>SUM(F284:F285)</f>
        <v>54568</v>
      </c>
      <c r="G282" s="46">
        <f>SUM(G284:G285)</f>
        <v>0</v>
      </c>
      <c r="H282" s="151">
        <f t="shared" si="26"/>
        <v>54568</v>
      </c>
    </row>
    <row r="283" spans="1:8" ht="14.25" customHeight="1" x14ac:dyDescent="0.25">
      <c r="A283" s="62" t="s">
        <v>27</v>
      </c>
      <c r="B283" s="52"/>
      <c r="C283" s="16"/>
      <c r="D283" s="87"/>
      <c r="E283" s="110"/>
      <c r="F283" s="16"/>
      <c r="G283" s="16"/>
      <c r="H283" s="141"/>
    </row>
    <row r="284" spans="1:8" ht="15.75" customHeight="1" x14ac:dyDescent="0.25">
      <c r="A284" s="59" t="s">
        <v>215</v>
      </c>
      <c r="B284" s="54"/>
      <c r="C284" s="19">
        <v>46983</v>
      </c>
      <c r="D284" s="88">
        <v>0</v>
      </c>
      <c r="E284" s="111">
        <v>7585</v>
      </c>
      <c r="F284" s="19">
        <f>SUM(C284:E284)</f>
        <v>54568</v>
      </c>
      <c r="G284" s="19">
        <v>0</v>
      </c>
      <c r="H284" s="142">
        <f t="shared" si="26"/>
        <v>54568</v>
      </c>
    </row>
    <row r="285" spans="1:8" ht="16.5" customHeight="1" thickBot="1" x14ac:dyDescent="0.3">
      <c r="A285" s="20" t="s">
        <v>229</v>
      </c>
      <c r="B285" s="49"/>
      <c r="C285" s="22">
        <v>0</v>
      </c>
      <c r="D285" s="85">
        <v>0</v>
      </c>
      <c r="E285" s="108">
        <v>0</v>
      </c>
      <c r="F285" s="22">
        <f>SUM(C285:E285)</f>
        <v>0</v>
      </c>
      <c r="G285" s="22">
        <v>0</v>
      </c>
      <c r="H285" s="143">
        <f t="shared" si="26"/>
        <v>0</v>
      </c>
    </row>
    <row r="286" spans="1:8" ht="17.25" customHeight="1" thickBot="1" x14ac:dyDescent="0.3">
      <c r="A286" s="61" t="s">
        <v>135</v>
      </c>
      <c r="B286" s="55"/>
      <c r="C286" s="46">
        <f>SUM(C288:C293)</f>
        <v>24838.940000000002</v>
      </c>
      <c r="D286" s="86">
        <f>SUM(D288:D293)</f>
        <v>50</v>
      </c>
      <c r="E286" s="107">
        <f>SUM(E288:E293)</f>
        <v>-2520</v>
      </c>
      <c r="F286" s="46">
        <f>SUM(F288:F293)</f>
        <v>22368.940000000002</v>
      </c>
      <c r="G286" s="46">
        <f>SUM(G288:G293)</f>
        <v>0</v>
      </c>
      <c r="H286" s="151">
        <f t="shared" si="26"/>
        <v>22368.940000000002</v>
      </c>
    </row>
    <row r="287" spans="1:8" ht="16.5" customHeight="1" x14ac:dyDescent="0.25">
      <c r="A287" s="62" t="s">
        <v>27</v>
      </c>
      <c r="B287" s="52"/>
      <c r="C287" s="16"/>
      <c r="D287" s="87"/>
      <c r="E287" s="98"/>
      <c r="F287" s="16"/>
      <c r="G287" s="16"/>
      <c r="H287" s="141"/>
    </row>
    <row r="288" spans="1:8" ht="15" customHeight="1" x14ac:dyDescent="0.25">
      <c r="A288" s="59" t="s">
        <v>215</v>
      </c>
      <c r="B288" s="54"/>
      <c r="C288" s="19">
        <v>5283.06</v>
      </c>
      <c r="D288" s="19">
        <f>50</f>
        <v>50</v>
      </c>
      <c r="E288" s="99">
        <v>480</v>
      </c>
      <c r="F288" s="19">
        <f>SUM(C288:E288)</f>
        <v>5813.06</v>
      </c>
      <c r="G288" s="19">
        <v>0</v>
      </c>
      <c r="H288" s="142">
        <f t="shared" si="26"/>
        <v>5813.06</v>
      </c>
    </row>
    <row r="289" spans="1:8" ht="26.25" customHeight="1" x14ac:dyDescent="0.25">
      <c r="A289" s="17" t="s">
        <v>230</v>
      </c>
      <c r="B289" s="54"/>
      <c r="C289" s="19">
        <v>3000</v>
      </c>
      <c r="D289" s="19">
        <v>0</v>
      </c>
      <c r="E289" s="99">
        <v>-3000</v>
      </c>
      <c r="F289" s="19">
        <f t="shared" ref="F289:F293" si="28">SUM(C289:E289)</f>
        <v>0</v>
      </c>
      <c r="G289" s="19">
        <v>0</v>
      </c>
      <c r="H289" s="142">
        <f t="shared" si="26"/>
        <v>0</v>
      </c>
    </row>
    <row r="290" spans="1:8" ht="27.75" customHeight="1" x14ac:dyDescent="0.25">
      <c r="A290" s="17" t="s">
        <v>231</v>
      </c>
      <c r="B290" s="54" t="s">
        <v>137</v>
      </c>
      <c r="C290" s="19">
        <v>655.88</v>
      </c>
      <c r="D290" s="19">
        <v>0</v>
      </c>
      <c r="E290" s="99">
        <v>0</v>
      </c>
      <c r="F290" s="19">
        <f t="shared" si="28"/>
        <v>655.88</v>
      </c>
      <c r="G290" s="19">
        <v>0</v>
      </c>
      <c r="H290" s="142">
        <f t="shared" si="26"/>
        <v>655.88</v>
      </c>
    </row>
    <row r="291" spans="1:8" ht="26.25" customHeight="1" x14ac:dyDescent="0.25">
      <c r="A291" s="17" t="s">
        <v>232</v>
      </c>
      <c r="B291" s="54" t="s">
        <v>233</v>
      </c>
      <c r="C291" s="19">
        <v>15500</v>
      </c>
      <c r="D291" s="19">
        <v>0</v>
      </c>
      <c r="E291" s="99">
        <v>0</v>
      </c>
      <c r="F291" s="19">
        <f t="shared" si="28"/>
        <v>15500</v>
      </c>
      <c r="G291" s="19">
        <v>0</v>
      </c>
      <c r="H291" s="142">
        <f t="shared" si="26"/>
        <v>15500</v>
      </c>
    </row>
    <row r="292" spans="1:8" ht="18.75" customHeight="1" x14ac:dyDescent="0.25">
      <c r="A292" s="17" t="s">
        <v>234</v>
      </c>
      <c r="B292" s="58" t="s">
        <v>121</v>
      </c>
      <c r="C292" s="19">
        <v>400</v>
      </c>
      <c r="D292" s="19">
        <v>0</v>
      </c>
      <c r="E292" s="99">
        <v>0</v>
      </c>
      <c r="F292" s="19">
        <f t="shared" si="28"/>
        <v>400</v>
      </c>
      <c r="G292" s="19">
        <v>0</v>
      </c>
      <c r="H292" s="142">
        <f t="shared" si="26"/>
        <v>400</v>
      </c>
    </row>
    <row r="293" spans="1:8" ht="18" customHeight="1" thickBot="1" x14ac:dyDescent="0.3">
      <c r="A293" s="20" t="s">
        <v>235</v>
      </c>
      <c r="B293" s="49"/>
      <c r="C293" s="22">
        <v>0</v>
      </c>
      <c r="D293" s="22">
        <v>0</v>
      </c>
      <c r="E293" s="100">
        <v>0</v>
      </c>
      <c r="F293" s="22">
        <f t="shared" si="28"/>
        <v>0</v>
      </c>
      <c r="G293" s="22">
        <v>0</v>
      </c>
      <c r="H293" s="143">
        <f t="shared" si="26"/>
        <v>0</v>
      </c>
    </row>
    <row r="294" spans="1:8" ht="13.5" customHeight="1" thickBot="1" x14ac:dyDescent="0.3">
      <c r="A294" s="61" t="s">
        <v>144</v>
      </c>
      <c r="B294" s="55"/>
      <c r="C294" s="46">
        <f>SUM(C296:C297)</f>
        <v>1000</v>
      </c>
      <c r="D294" s="46">
        <f>SUM(D296:D297)</f>
        <v>0</v>
      </c>
      <c r="E294" s="107">
        <f>SUM(E296:E297)</f>
        <v>0</v>
      </c>
      <c r="F294" s="46">
        <f>SUM(F296:F297)</f>
        <v>1000</v>
      </c>
      <c r="G294" s="86">
        <f>SUM(G296:G297)</f>
        <v>0</v>
      </c>
      <c r="H294" s="151">
        <f t="shared" si="26"/>
        <v>1000</v>
      </c>
    </row>
    <row r="295" spans="1:8" ht="13.5" customHeight="1" x14ac:dyDescent="0.25">
      <c r="A295" s="62" t="s">
        <v>27</v>
      </c>
      <c r="B295" s="52"/>
      <c r="C295" s="16"/>
      <c r="D295" s="16"/>
      <c r="E295" s="98"/>
      <c r="F295" s="16"/>
      <c r="G295" s="16"/>
      <c r="H295" s="141"/>
    </row>
    <row r="296" spans="1:8" ht="15" customHeight="1" x14ac:dyDescent="0.25">
      <c r="A296" s="17" t="s">
        <v>236</v>
      </c>
      <c r="B296" s="58" t="s">
        <v>36</v>
      </c>
      <c r="C296" s="19">
        <v>1000</v>
      </c>
      <c r="D296" s="19">
        <v>0</v>
      </c>
      <c r="E296" s="99">
        <v>0</v>
      </c>
      <c r="F296" s="19">
        <f>SUM(C296:E296)</f>
        <v>1000</v>
      </c>
      <c r="G296" s="19">
        <v>0</v>
      </c>
      <c r="H296" s="142">
        <f t="shared" si="26"/>
        <v>1000</v>
      </c>
    </row>
    <row r="297" spans="1:8" ht="17.25" customHeight="1" thickBot="1" x14ac:dyDescent="0.3">
      <c r="A297" s="60" t="s">
        <v>237</v>
      </c>
      <c r="B297" s="49"/>
      <c r="C297" s="22">
        <v>0</v>
      </c>
      <c r="D297" s="22">
        <v>0</v>
      </c>
      <c r="E297" s="100">
        <v>0</v>
      </c>
      <c r="F297" s="22">
        <f>SUM(C297:E297)</f>
        <v>0</v>
      </c>
      <c r="G297" s="22">
        <v>0</v>
      </c>
      <c r="H297" s="143">
        <f t="shared" si="26"/>
        <v>0</v>
      </c>
    </row>
    <row r="298" spans="1:8" ht="12.75" customHeight="1" thickBot="1" x14ac:dyDescent="0.3">
      <c r="A298" s="61" t="s">
        <v>182</v>
      </c>
      <c r="B298" s="55"/>
      <c r="C298" s="46">
        <f>SUM(C300:C304)</f>
        <v>253596</v>
      </c>
      <c r="D298" s="46">
        <f>SUM(D300:D304)</f>
        <v>-4619</v>
      </c>
      <c r="E298" s="107">
        <f>SUM(E300:E304)</f>
        <v>24941</v>
      </c>
      <c r="F298" s="46">
        <f>SUM(F300:F304)</f>
        <v>273918</v>
      </c>
      <c r="G298" s="46">
        <f>SUM(G300:G304)</f>
        <v>4855</v>
      </c>
      <c r="H298" s="151">
        <f t="shared" si="26"/>
        <v>278773</v>
      </c>
    </row>
    <row r="299" spans="1:8" ht="15" customHeight="1" x14ac:dyDescent="0.25">
      <c r="A299" s="62" t="s">
        <v>27</v>
      </c>
      <c r="B299" s="52"/>
      <c r="C299" s="16"/>
      <c r="D299" s="16"/>
      <c r="E299" s="98"/>
      <c r="F299" s="16"/>
      <c r="G299" s="16"/>
      <c r="H299" s="141"/>
    </row>
    <row r="300" spans="1:8" ht="17.25" customHeight="1" x14ac:dyDescent="0.25">
      <c r="A300" s="59" t="s">
        <v>215</v>
      </c>
      <c r="B300" s="54"/>
      <c r="C300" s="19">
        <v>252596</v>
      </c>
      <c r="D300" s="19">
        <f>-3559-992-68</f>
        <v>-4619</v>
      </c>
      <c r="E300" s="99">
        <v>21663</v>
      </c>
      <c r="F300" s="19">
        <f>SUM(C300:E300)</f>
        <v>269640</v>
      </c>
      <c r="G300" s="19">
        <f>4855</f>
        <v>4855</v>
      </c>
      <c r="H300" s="142">
        <f t="shared" si="26"/>
        <v>274495</v>
      </c>
    </row>
    <row r="301" spans="1:8" ht="15.75" customHeight="1" x14ac:dyDescent="0.25">
      <c r="A301" s="17" t="s">
        <v>238</v>
      </c>
      <c r="B301" s="54"/>
      <c r="C301" s="19">
        <v>1000</v>
      </c>
      <c r="D301" s="19">
        <v>0</v>
      </c>
      <c r="E301" s="99">
        <v>0</v>
      </c>
      <c r="F301" s="19">
        <f t="shared" ref="F301:F304" si="29">SUM(C301:E301)</f>
        <v>1000</v>
      </c>
      <c r="G301" s="19">
        <v>0</v>
      </c>
      <c r="H301" s="142">
        <f t="shared" si="26"/>
        <v>1000</v>
      </c>
    </row>
    <row r="302" spans="1:8" ht="17.25" customHeight="1" x14ac:dyDescent="0.25">
      <c r="A302" s="59" t="s">
        <v>239</v>
      </c>
      <c r="B302" s="54"/>
      <c r="C302" s="19">
        <v>0</v>
      </c>
      <c r="D302" s="19">
        <v>0</v>
      </c>
      <c r="E302" s="99">
        <v>278</v>
      </c>
      <c r="F302" s="19">
        <f t="shared" si="29"/>
        <v>278</v>
      </c>
      <c r="G302" s="19">
        <v>0</v>
      </c>
      <c r="H302" s="142">
        <f t="shared" si="26"/>
        <v>278</v>
      </c>
    </row>
    <row r="303" spans="1:8" ht="26.25" customHeight="1" x14ac:dyDescent="0.25">
      <c r="A303" s="17" t="s">
        <v>230</v>
      </c>
      <c r="B303" s="54"/>
      <c r="C303" s="19">
        <v>0</v>
      </c>
      <c r="D303" s="19">
        <v>0</v>
      </c>
      <c r="E303" s="99">
        <v>3000</v>
      </c>
      <c r="F303" s="19">
        <f t="shared" si="29"/>
        <v>3000</v>
      </c>
      <c r="G303" s="19">
        <v>0</v>
      </c>
      <c r="H303" s="142">
        <f t="shared" si="26"/>
        <v>3000</v>
      </c>
    </row>
    <row r="304" spans="1:8" ht="18.75" customHeight="1" thickBot="1" x14ac:dyDescent="0.3">
      <c r="A304" s="60" t="s">
        <v>240</v>
      </c>
      <c r="B304" s="49"/>
      <c r="C304" s="22">
        <v>0</v>
      </c>
      <c r="D304" s="22">
        <v>0</v>
      </c>
      <c r="E304" s="100">
        <v>0</v>
      </c>
      <c r="F304" s="22">
        <f t="shared" si="29"/>
        <v>0</v>
      </c>
      <c r="G304" s="22">
        <v>0</v>
      </c>
      <c r="H304" s="143">
        <f t="shared" si="26"/>
        <v>0</v>
      </c>
    </row>
    <row r="305" spans="1:8" ht="16.350000000000001" customHeight="1" thickBot="1" x14ac:dyDescent="0.3">
      <c r="A305" s="61" t="s">
        <v>184</v>
      </c>
      <c r="B305" s="55"/>
      <c r="C305" s="46">
        <f>SUM(C307:C313)</f>
        <v>8726.74</v>
      </c>
      <c r="D305" s="46">
        <f>SUM(D307:D313)</f>
        <v>-408.98</v>
      </c>
      <c r="E305" s="107">
        <f>SUM(E307:E313)</f>
        <v>239.58</v>
      </c>
      <c r="F305" s="46">
        <f>SUM(F307:F313)</f>
        <v>8557.34</v>
      </c>
      <c r="G305" s="46">
        <f>SUM(G307:G313)</f>
        <v>0</v>
      </c>
      <c r="H305" s="151">
        <f t="shared" si="26"/>
        <v>8557.34</v>
      </c>
    </row>
    <row r="306" spans="1:8" ht="15" customHeight="1" x14ac:dyDescent="0.25">
      <c r="A306" s="62" t="s">
        <v>27</v>
      </c>
      <c r="B306" s="52"/>
      <c r="C306" s="16"/>
      <c r="D306" s="16"/>
      <c r="E306" s="98"/>
      <c r="F306" s="16"/>
      <c r="G306" s="16"/>
      <c r="H306" s="141"/>
    </row>
    <row r="307" spans="1:8" ht="16.5" customHeight="1" x14ac:dyDescent="0.25">
      <c r="A307" s="17" t="s">
        <v>241</v>
      </c>
      <c r="B307" s="76" t="s">
        <v>242</v>
      </c>
      <c r="C307" s="19">
        <v>5000</v>
      </c>
      <c r="D307" s="19">
        <v>0</v>
      </c>
      <c r="E307" s="99">
        <v>0</v>
      </c>
      <c r="F307" s="19">
        <f>SUM(C307:E307)</f>
        <v>5000</v>
      </c>
      <c r="G307" s="19">
        <v>0</v>
      </c>
      <c r="H307" s="142">
        <f t="shared" si="26"/>
        <v>5000</v>
      </c>
    </row>
    <row r="308" spans="1:8" ht="15" customHeight="1" x14ac:dyDescent="0.25">
      <c r="A308" s="59" t="s">
        <v>243</v>
      </c>
      <c r="B308" s="54"/>
      <c r="C308" s="19">
        <v>1000</v>
      </c>
      <c r="D308" s="19">
        <f>-408.98</f>
        <v>-408.98</v>
      </c>
      <c r="E308" s="99">
        <v>239.58</v>
      </c>
      <c r="F308" s="19">
        <f t="shared" ref="F308:F313" si="30">SUM(C308:E308)</f>
        <v>830.6</v>
      </c>
      <c r="G308" s="19">
        <v>0</v>
      </c>
      <c r="H308" s="142">
        <f t="shared" si="26"/>
        <v>830.6</v>
      </c>
    </row>
    <row r="309" spans="1:8" ht="15" customHeight="1" x14ac:dyDescent="0.25">
      <c r="A309" s="59" t="s">
        <v>215</v>
      </c>
      <c r="B309" s="54"/>
      <c r="C309" s="19">
        <v>474.34</v>
      </c>
      <c r="D309" s="19">
        <v>0</v>
      </c>
      <c r="E309" s="99">
        <v>0</v>
      </c>
      <c r="F309" s="19">
        <f t="shared" si="30"/>
        <v>474.34</v>
      </c>
      <c r="G309" s="19">
        <v>0</v>
      </c>
      <c r="H309" s="142">
        <f t="shared" si="26"/>
        <v>474.34</v>
      </c>
    </row>
    <row r="310" spans="1:8" ht="29.25" customHeight="1" x14ac:dyDescent="0.25">
      <c r="A310" s="17" t="s">
        <v>244</v>
      </c>
      <c r="B310" s="58" t="s">
        <v>195</v>
      </c>
      <c r="C310" s="19">
        <v>2012.4</v>
      </c>
      <c r="D310" s="19">
        <v>0</v>
      </c>
      <c r="E310" s="99">
        <v>0</v>
      </c>
      <c r="F310" s="19">
        <f t="shared" si="30"/>
        <v>2012.4</v>
      </c>
      <c r="G310" s="19">
        <v>0</v>
      </c>
      <c r="H310" s="142">
        <f t="shared" si="26"/>
        <v>2012.4</v>
      </c>
    </row>
    <row r="311" spans="1:8" ht="18" customHeight="1" x14ac:dyDescent="0.25">
      <c r="A311" s="17" t="s">
        <v>245</v>
      </c>
      <c r="B311" s="54"/>
      <c r="C311" s="19">
        <v>90</v>
      </c>
      <c r="D311" s="19">
        <v>0</v>
      </c>
      <c r="E311" s="99">
        <v>0</v>
      </c>
      <c r="F311" s="19">
        <f t="shared" si="30"/>
        <v>90</v>
      </c>
      <c r="G311" s="19">
        <v>0</v>
      </c>
      <c r="H311" s="142">
        <f t="shared" si="26"/>
        <v>90</v>
      </c>
    </row>
    <row r="312" spans="1:8" ht="26.25" customHeight="1" x14ac:dyDescent="0.25">
      <c r="A312" s="17" t="s">
        <v>246</v>
      </c>
      <c r="B312" s="54"/>
      <c r="C312" s="19">
        <v>150</v>
      </c>
      <c r="D312" s="19">
        <v>0</v>
      </c>
      <c r="E312" s="99">
        <v>0</v>
      </c>
      <c r="F312" s="19">
        <f t="shared" si="30"/>
        <v>150</v>
      </c>
      <c r="G312" s="19">
        <v>0</v>
      </c>
      <c r="H312" s="142">
        <f t="shared" si="26"/>
        <v>150</v>
      </c>
    </row>
    <row r="313" spans="1:8" ht="18.75" customHeight="1" x14ac:dyDescent="0.25">
      <c r="A313" s="17" t="s">
        <v>247</v>
      </c>
      <c r="B313" s="54"/>
      <c r="C313" s="34">
        <v>0</v>
      </c>
      <c r="D313" s="34">
        <v>0</v>
      </c>
      <c r="E313" s="99">
        <v>0</v>
      </c>
      <c r="F313" s="19">
        <f t="shared" si="30"/>
        <v>0</v>
      </c>
      <c r="G313" s="19">
        <v>0</v>
      </c>
      <c r="H313" s="142">
        <f t="shared" si="26"/>
        <v>0</v>
      </c>
    </row>
    <row r="314" spans="1:8" ht="15.75" customHeight="1" thickBot="1" x14ac:dyDescent="0.3">
      <c r="A314" s="128" t="s">
        <v>205</v>
      </c>
      <c r="B314" s="129"/>
      <c r="C314" s="130">
        <f>SUM(C316:C316)</f>
        <v>900</v>
      </c>
      <c r="D314" s="130">
        <f>SUM(D316)</f>
        <v>0</v>
      </c>
      <c r="E314" s="131">
        <f>SUM(E316)</f>
        <v>0</v>
      </c>
      <c r="F314" s="130">
        <f>SUM(F316)</f>
        <v>900</v>
      </c>
      <c r="G314" s="130">
        <f>SUM(G316)</f>
        <v>0</v>
      </c>
      <c r="H314" s="154">
        <f t="shared" si="26"/>
        <v>900</v>
      </c>
    </row>
    <row r="315" spans="1:8" ht="14.25" customHeight="1" x14ac:dyDescent="0.25">
      <c r="A315" s="62" t="s">
        <v>27</v>
      </c>
      <c r="B315" s="52"/>
      <c r="C315" s="16"/>
      <c r="D315" s="16"/>
      <c r="E315" s="98"/>
      <c r="F315" s="16"/>
      <c r="G315" s="16"/>
      <c r="H315" s="141"/>
    </row>
    <row r="316" spans="1:8" ht="17.25" customHeight="1" thickBot="1" x14ac:dyDescent="0.3">
      <c r="A316" s="60" t="s">
        <v>215</v>
      </c>
      <c r="B316" s="49"/>
      <c r="C316" s="22">
        <v>900</v>
      </c>
      <c r="D316" s="22">
        <v>0</v>
      </c>
      <c r="E316" s="100">
        <v>0</v>
      </c>
      <c r="F316" s="22">
        <f>SUM(C316:E316)</f>
        <v>900</v>
      </c>
      <c r="G316" s="22">
        <v>0</v>
      </c>
      <c r="H316" s="143">
        <f t="shared" si="26"/>
        <v>900</v>
      </c>
    </row>
    <row r="317" spans="1:8" ht="16.5" customHeight="1" thickBot="1" x14ac:dyDescent="0.3">
      <c r="A317" s="61" t="s">
        <v>207</v>
      </c>
      <c r="B317" s="55"/>
      <c r="C317" s="46">
        <f>SUM(C319:C319)</f>
        <v>23254</v>
      </c>
      <c r="D317" s="46">
        <f>SUM(D319)</f>
        <v>-8108.52</v>
      </c>
      <c r="E317" s="107">
        <f>SUM(E319)</f>
        <v>12735</v>
      </c>
      <c r="F317" s="46">
        <f>SUM(F319)</f>
        <v>27880.48</v>
      </c>
      <c r="G317" s="86">
        <f>SUM(G319)</f>
        <v>0</v>
      </c>
      <c r="H317" s="151">
        <f>SUM(F317:G317)</f>
        <v>27880.48</v>
      </c>
    </row>
    <row r="318" spans="1:8" ht="14.25" customHeight="1" x14ac:dyDescent="0.25">
      <c r="A318" s="62" t="s">
        <v>27</v>
      </c>
      <c r="B318" s="52"/>
      <c r="C318" s="16"/>
      <c r="D318" s="16"/>
      <c r="E318" s="98"/>
      <c r="F318" s="16"/>
      <c r="G318" s="16"/>
      <c r="H318" s="141"/>
    </row>
    <row r="319" spans="1:8" ht="18" customHeight="1" thickBot="1" x14ac:dyDescent="0.3">
      <c r="A319" s="60" t="s">
        <v>215</v>
      </c>
      <c r="B319" s="49"/>
      <c r="C319" s="22">
        <v>23254</v>
      </c>
      <c r="D319" s="22">
        <f>-5210.92-2944+46.4</f>
        <v>-8108.52</v>
      </c>
      <c r="E319" s="100">
        <v>12735</v>
      </c>
      <c r="F319" s="22">
        <f>SUM(C319:E319)</f>
        <v>27880.48</v>
      </c>
      <c r="G319" s="22">
        <v>0</v>
      </c>
      <c r="H319" s="143">
        <f t="shared" si="26"/>
        <v>27880.48</v>
      </c>
    </row>
    <row r="320" spans="1:8" ht="18" customHeight="1" thickBot="1" x14ac:dyDescent="0.3">
      <c r="A320" s="79" t="s">
        <v>209</v>
      </c>
      <c r="B320" s="55"/>
      <c r="C320" s="46">
        <f>SUM(C322:C323)</f>
        <v>900</v>
      </c>
      <c r="D320" s="46">
        <f>SUM(D322:D323)</f>
        <v>0</v>
      </c>
      <c r="E320" s="107">
        <f>SUM(E322:E323)</f>
        <v>1200</v>
      </c>
      <c r="F320" s="46">
        <f>SUM(F322:F323)</f>
        <v>2100</v>
      </c>
      <c r="G320" s="46">
        <f>SUM(G322:G323)</f>
        <v>0</v>
      </c>
      <c r="H320" s="151">
        <f t="shared" si="26"/>
        <v>2100</v>
      </c>
    </row>
    <row r="321" spans="1:8" ht="16.5" customHeight="1" x14ac:dyDescent="0.25">
      <c r="A321" s="62" t="s">
        <v>27</v>
      </c>
      <c r="B321" s="52"/>
      <c r="C321" s="16"/>
      <c r="D321" s="16"/>
      <c r="E321" s="98"/>
      <c r="F321" s="16"/>
      <c r="G321" s="16"/>
      <c r="H321" s="141"/>
    </row>
    <row r="322" spans="1:8" ht="17.25" customHeight="1" x14ac:dyDescent="0.25">
      <c r="A322" s="59" t="s">
        <v>215</v>
      </c>
      <c r="B322" s="54"/>
      <c r="C322" s="19">
        <v>0</v>
      </c>
      <c r="D322" s="19">
        <v>0</v>
      </c>
      <c r="E322" s="99">
        <v>1200</v>
      </c>
      <c r="F322" s="19">
        <f>SUM(C322:E322)</f>
        <v>1200</v>
      </c>
      <c r="G322" s="19">
        <v>0</v>
      </c>
      <c r="H322" s="142">
        <f t="shared" si="26"/>
        <v>1200</v>
      </c>
    </row>
    <row r="323" spans="1:8" ht="27.75" customHeight="1" thickBot="1" x14ac:dyDescent="0.3">
      <c r="A323" s="132" t="s">
        <v>248</v>
      </c>
      <c r="B323" s="124" t="s">
        <v>36</v>
      </c>
      <c r="C323" s="22">
        <v>900</v>
      </c>
      <c r="D323" s="22">
        <v>0</v>
      </c>
      <c r="E323" s="100">
        <v>0</v>
      </c>
      <c r="F323" s="22">
        <f>SUM(C323:E323)</f>
        <v>900</v>
      </c>
      <c r="G323" s="22">
        <v>0</v>
      </c>
      <c r="H323" s="143">
        <f t="shared" si="26"/>
        <v>900</v>
      </c>
    </row>
    <row r="324" spans="1:8" ht="17.25" customHeight="1" thickBot="1" x14ac:dyDescent="0.3">
      <c r="A324" s="80" t="s">
        <v>249</v>
      </c>
      <c r="B324" s="81"/>
      <c r="C324" s="82">
        <f>SUM(C239+C242+C247+C257+C261+C265+C282+C286+C294+C298+C305+C314+C317+C320)</f>
        <v>532078.65</v>
      </c>
      <c r="D324" s="82">
        <f>SUM(D239+D242+D247+D257+D261+D265+D282+D286+D294+D298+D305+D314+D317+D320)</f>
        <v>-4251.8099999999995</v>
      </c>
      <c r="E324" s="82">
        <f>SUM(E239+E242+E247+E257+E261+E265+E282+E286+E294+E298+E305+E314+E317+E320)</f>
        <v>213549.84999999998</v>
      </c>
      <c r="F324" s="82">
        <f>SUM(F239+F242+F247+F257+F261+F265+F282+F286+F294+F298+F305+F314+F317+F320)</f>
        <v>741376.69</v>
      </c>
      <c r="G324" s="82">
        <f>SUM(G239+G242+G247+G257+G261+G265+G282+G286+G294+G298+G305+G314+G317+G320)</f>
        <v>655</v>
      </c>
      <c r="H324" s="153">
        <f t="shared" si="26"/>
        <v>742031.69</v>
      </c>
    </row>
    <row r="325" spans="1:8" ht="18" customHeight="1" thickBot="1" x14ac:dyDescent="0.3">
      <c r="A325" s="89" t="s">
        <v>250</v>
      </c>
      <c r="B325" s="90"/>
      <c r="C325" s="82">
        <f>C236+C324</f>
        <v>2085807.56</v>
      </c>
      <c r="D325" s="82">
        <f>SUM(D236+D324)</f>
        <v>1835.6200000000008</v>
      </c>
      <c r="E325" s="82">
        <f>SUM(E236+E324)</f>
        <v>272356.37</v>
      </c>
      <c r="F325" s="82">
        <f>SUM(C325:E325)</f>
        <v>2359999.5500000003</v>
      </c>
      <c r="G325" s="82">
        <f>SUM(G236+G324)</f>
        <v>583.66</v>
      </c>
      <c r="H325" s="153">
        <f t="shared" si="26"/>
        <v>2360583.2100000004</v>
      </c>
    </row>
    <row r="326" spans="1:8" ht="16.5" customHeight="1" thickBot="1" x14ac:dyDescent="0.3">
      <c r="A326" s="133"/>
      <c r="B326" s="134"/>
      <c r="C326" s="127"/>
      <c r="D326" s="127"/>
      <c r="E326" s="102"/>
      <c r="F326" s="28"/>
      <c r="G326" s="28"/>
      <c r="H326" s="149"/>
    </row>
    <row r="327" spans="1:8" ht="20.25" customHeight="1" thickBot="1" x14ac:dyDescent="0.3">
      <c r="A327" s="29" t="s">
        <v>251</v>
      </c>
      <c r="B327" s="91"/>
      <c r="C327" s="31"/>
      <c r="D327" s="31"/>
      <c r="E327" s="103"/>
      <c r="F327" s="31"/>
      <c r="G327" s="31"/>
      <c r="H327" s="155"/>
    </row>
    <row r="328" spans="1:8" ht="15" customHeight="1" x14ac:dyDescent="0.25">
      <c r="A328" s="14" t="s">
        <v>252</v>
      </c>
      <c r="B328" s="52"/>
      <c r="C328" s="16">
        <v>12000</v>
      </c>
      <c r="D328" s="16">
        <v>0</v>
      </c>
      <c r="E328" s="98">
        <v>204</v>
      </c>
      <c r="F328" s="16">
        <f>SUM(C328:E328)</f>
        <v>12204</v>
      </c>
      <c r="G328" s="16">
        <v>0</v>
      </c>
      <c r="H328" s="141">
        <f t="shared" ref="H328:H336" si="31">SUM(F328:G328)</f>
        <v>12204</v>
      </c>
    </row>
    <row r="329" spans="1:8" ht="17.25" customHeight="1" x14ac:dyDescent="0.25">
      <c r="A329" s="17" t="s">
        <v>253</v>
      </c>
      <c r="B329" s="54"/>
      <c r="C329" s="19">
        <v>0</v>
      </c>
      <c r="D329" s="19">
        <v>0</v>
      </c>
      <c r="E329" s="99">
        <v>0</v>
      </c>
      <c r="F329" s="16">
        <f t="shared" ref="F329:F334" si="32">SUM(C329:E329)</f>
        <v>0</v>
      </c>
      <c r="G329" s="19">
        <v>0</v>
      </c>
      <c r="H329" s="142">
        <f t="shared" si="31"/>
        <v>0</v>
      </c>
    </row>
    <row r="330" spans="1:8" ht="17.25" customHeight="1" x14ac:dyDescent="0.25">
      <c r="A330" s="17" t="s">
        <v>254</v>
      </c>
      <c r="B330" s="54"/>
      <c r="C330" s="19">
        <v>0</v>
      </c>
      <c r="D330" s="19">
        <v>0</v>
      </c>
      <c r="E330" s="99">
        <v>0</v>
      </c>
      <c r="F330" s="16">
        <f t="shared" si="32"/>
        <v>0</v>
      </c>
      <c r="G330" s="19">
        <v>0</v>
      </c>
      <c r="H330" s="142">
        <f t="shared" si="31"/>
        <v>0</v>
      </c>
    </row>
    <row r="331" spans="1:8" ht="15" customHeight="1" x14ac:dyDescent="0.25">
      <c r="A331" s="17" t="s">
        <v>255</v>
      </c>
      <c r="B331" s="54"/>
      <c r="C331" s="19">
        <v>2859</v>
      </c>
      <c r="D331" s="19">
        <v>0</v>
      </c>
      <c r="E331" s="99">
        <v>0</v>
      </c>
      <c r="F331" s="16">
        <f t="shared" si="32"/>
        <v>2859</v>
      </c>
      <c r="G331" s="19">
        <v>0</v>
      </c>
      <c r="H331" s="142">
        <f t="shared" si="31"/>
        <v>2859</v>
      </c>
    </row>
    <row r="332" spans="1:8" ht="15" customHeight="1" x14ac:dyDescent="0.25">
      <c r="A332" s="17" t="s">
        <v>256</v>
      </c>
      <c r="B332" s="54"/>
      <c r="C332" s="19">
        <v>0</v>
      </c>
      <c r="D332" s="19">
        <v>0</v>
      </c>
      <c r="E332" s="99">
        <v>0</v>
      </c>
      <c r="F332" s="16">
        <f t="shared" si="32"/>
        <v>0</v>
      </c>
      <c r="G332" s="19">
        <v>0</v>
      </c>
      <c r="H332" s="142">
        <f t="shared" si="31"/>
        <v>0</v>
      </c>
    </row>
    <row r="333" spans="1:8" ht="15" customHeight="1" x14ac:dyDescent="0.25">
      <c r="A333" s="17" t="s">
        <v>257</v>
      </c>
      <c r="B333" s="54"/>
      <c r="C333" s="19">
        <v>0</v>
      </c>
      <c r="D333" s="19">
        <v>0</v>
      </c>
      <c r="E333" s="99">
        <v>0</v>
      </c>
      <c r="F333" s="16">
        <f t="shared" si="32"/>
        <v>0</v>
      </c>
      <c r="G333" s="19">
        <v>0</v>
      </c>
      <c r="H333" s="142">
        <f t="shared" si="31"/>
        <v>0</v>
      </c>
    </row>
    <row r="334" spans="1:8" ht="15" customHeight="1" thickBot="1" x14ac:dyDescent="0.3">
      <c r="A334" s="20" t="s">
        <v>258</v>
      </c>
      <c r="B334" s="49"/>
      <c r="C334" s="22">
        <v>40563.1</v>
      </c>
      <c r="D334" s="22">
        <v>0</v>
      </c>
      <c r="E334" s="100">
        <v>0</v>
      </c>
      <c r="F334" s="28">
        <f t="shared" si="32"/>
        <v>40563.1</v>
      </c>
      <c r="G334" s="22">
        <v>0</v>
      </c>
      <c r="H334" s="143">
        <f t="shared" si="31"/>
        <v>40563.1</v>
      </c>
    </row>
    <row r="335" spans="1:8" ht="18.75" customHeight="1" thickBot="1" x14ac:dyDescent="0.3">
      <c r="A335" s="29" t="s">
        <v>259</v>
      </c>
      <c r="B335" s="92"/>
      <c r="C335" s="37">
        <f t="shared" ref="C335" si="33">SUM(C328:C334)</f>
        <v>55422.1</v>
      </c>
      <c r="D335" s="37">
        <f>SUM(D328:D334)</f>
        <v>0</v>
      </c>
      <c r="E335" s="104">
        <f>SUM(E328:E334)</f>
        <v>204</v>
      </c>
      <c r="F335" s="37">
        <f>SUM(F328:F334)</f>
        <v>55626.1</v>
      </c>
      <c r="G335" s="37">
        <f>SUM(G328:G334)</f>
        <v>0</v>
      </c>
      <c r="H335" s="147">
        <f t="shared" si="31"/>
        <v>55626.1</v>
      </c>
    </row>
    <row r="336" spans="1:8" ht="18.75" customHeight="1" thickBot="1" x14ac:dyDescent="0.3">
      <c r="A336" s="38" t="s">
        <v>260</v>
      </c>
      <c r="B336" s="93"/>
      <c r="C336" s="40">
        <f>C325+C335</f>
        <v>2141229.66</v>
      </c>
      <c r="D336" s="40">
        <f>SUM(D325+D335)</f>
        <v>1835.6200000000008</v>
      </c>
      <c r="E336" s="40">
        <f>SUM(E325+E335)</f>
        <v>272560.37</v>
      </c>
      <c r="F336" s="40">
        <f>SUM(C336:E336)</f>
        <v>2415625.6500000004</v>
      </c>
      <c r="G336" s="40">
        <f>SUM(G325+G335)</f>
        <v>583.66</v>
      </c>
      <c r="H336" s="148">
        <f t="shared" si="31"/>
        <v>2416209.3100000005</v>
      </c>
    </row>
    <row r="337" spans="1:8" ht="12.75" customHeight="1" thickBot="1" x14ac:dyDescent="0.3">
      <c r="A337" s="135"/>
      <c r="B337" s="134"/>
      <c r="C337" s="136"/>
      <c r="D337" s="136"/>
      <c r="E337" s="102"/>
      <c r="F337" s="28"/>
      <c r="G337" s="28"/>
      <c r="H337" s="149"/>
    </row>
    <row r="338" spans="1:8" ht="30.75" thickBot="1" x14ac:dyDescent="0.3">
      <c r="A338" s="29" t="s">
        <v>261</v>
      </c>
      <c r="B338" s="91"/>
      <c r="C338" s="31"/>
      <c r="D338" s="31"/>
      <c r="E338" s="103"/>
      <c r="F338" s="31"/>
      <c r="G338" s="31"/>
      <c r="H338" s="155"/>
    </row>
    <row r="339" spans="1:8" ht="16.5" customHeight="1" thickBot="1" x14ac:dyDescent="0.3">
      <c r="A339" s="26" t="s">
        <v>262</v>
      </c>
      <c r="B339" s="112"/>
      <c r="C339" s="157">
        <v>0</v>
      </c>
      <c r="D339" s="157">
        <v>0</v>
      </c>
      <c r="E339" s="102">
        <v>0</v>
      </c>
      <c r="F339" s="28">
        <f>SUM(C339:E339)</f>
        <v>0</v>
      </c>
      <c r="G339" s="119">
        <v>0</v>
      </c>
      <c r="H339" s="149">
        <f>SUM(F339:G339)</f>
        <v>0</v>
      </c>
    </row>
    <row r="340" spans="1:8" ht="30.75" thickBot="1" x14ac:dyDescent="0.3">
      <c r="A340" s="29" t="s">
        <v>263</v>
      </c>
      <c r="B340" s="92"/>
      <c r="C340" s="158">
        <f>SUM(C339)</f>
        <v>0</v>
      </c>
      <c r="D340" s="158">
        <f>SUM(D339)</f>
        <v>0</v>
      </c>
      <c r="E340" s="159">
        <f>SUM(E339)</f>
        <v>0</v>
      </c>
      <c r="F340" s="158">
        <f>SUM(C340:E340)</f>
        <v>0</v>
      </c>
      <c r="G340" s="160">
        <v>0</v>
      </c>
      <c r="H340" s="162">
        <f>SUM(F340:G340)</f>
        <v>0</v>
      </c>
    </row>
    <row r="341" spans="1:8" ht="9" customHeight="1" x14ac:dyDescent="0.25"/>
    <row r="342" spans="1:8" ht="11.25" customHeight="1" x14ac:dyDescent="0.25">
      <c r="A342" s="94"/>
      <c r="B342" s="94"/>
      <c r="C342" s="94"/>
      <c r="D342" s="94"/>
      <c r="E342" s="94"/>
      <c r="F342" s="94"/>
      <c r="G342" s="94"/>
    </row>
    <row r="343" spans="1:8" hidden="1" x14ac:dyDescent="0.25">
      <c r="A343" s="94"/>
      <c r="B343" s="94"/>
      <c r="C343" s="94"/>
      <c r="D343" s="94"/>
      <c r="E343" s="94"/>
      <c r="F343" s="94"/>
      <c r="G343" s="94"/>
    </row>
  </sheetData>
  <sheetProtection algorithmName="SHA-512" hashValue="K3snm0MVPh1F7hHJ2Q0p3cxgvfjvVXA5jb/1Aw9gGCMgxKGJTyDQNNl/8oY1rhfGRBGGUx8+4i9Lomf50qiLjQ==" saltValue="b2qwUyQuEtlnU1CPNNmNH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1 - 41 
&amp;"-,Obyčejné"Zpracovala: Mgr. Andrea Oháňková, FO
&amp;RStrana &amp;P
celkem 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1-41</vt:lpstr>
      <vt:lpstr>'ZU 2024 po 1.ZR a RORM 1-41'!Názvy_tisku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2024-02-29T09:31:19Z</cp:lastPrinted>
  <dcterms:created xsi:type="dcterms:W3CDTF">2024-01-31T13:47:41Z</dcterms:created>
  <dcterms:modified xsi:type="dcterms:W3CDTF">2024-04-02T07:54:20Z</dcterms:modified>
</cp:coreProperties>
</file>